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KO\Desktop\"/>
    </mc:Choice>
  </mc:AlternateContent>
  <xr:revisionPtr revIDLastSave="0" documentId="13_ncr:1_{B172E144-889A-4076-B2E3-DD55C09F9041}" xr6:coauthVersionLast="47" xr6:coauthVersionMax="47" xr10:uidLastSave="{00000000-0000-0000-0000-000000000000}"/>
  <bookViews>
    <workbookView xWindow="-120" yWindow="-120" windowWidth="20730" windowHeight="11040" tabRatio="598" xr2:uid="{00000000-000D-0000-FFFF-FFFF00000000}"/>
  </bookViews>
  <sheets>
    <sheet name="申込書" sheetId="3" r:id="rId1"/>
    <sheet name="調査票" sheetId="2" r:id="rId2"/>
  </sheets>
  <definedNames>
    <definedName name="_xlnm.Print_Area" localSheetId="0">申込書!$A$8:$X$30</definedName>
    <definedName name="_xlnm.Print_Titles" localSheetId="0">申込書!$1:$7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29" i="3" l="1"/>
  <c r="E4" i="3"/>
  <c r="L4" i="3"/>
  <c r="I4" i="3"/>
  <c r="E3" i="3"/>
  <c r="C3" i="3"/>
  <c r="C2" i="3"/>
  <c r="B3" i="2"/>
  <c r="B40" i="2"/>
  <c r="V1" i="3"/>
  <c r="F4" i="2"/>
  <c r="CK27" i="3"/>
  <c r="CK26" i="3"/>
  <c r="CK25" i="3"/>
  <c r="CK24" i="3"/>
  <c r="CK23" i="3"/>
  <c r="CK22" i="3"/>
  <c r="CK21" i="3"/>
  <c r="CK20" i="3"/>
  <c r="CK19" i="3"/>
  <c r="CK18" i="3"/>
  <c r="CK17" i="3"/>
  <c r="CK16" i="3"/>
  <c r="CK15" i="3"/>
  <c r="CK14" i="3"/>
  <c r="CK13" i="3"/>
  <c r="CK12" i="3"/>
  <c r="CK11" i="3"/>
  <c r="CK10" i="3"/>
  <c r="CK9" i="3"/>
  <c r="CK8" i="3"/>
  <c r="CJ8" i="3"/>
  <c r="CJ27" i="3"/>
  <c r="CJ26" i="3"/>
  <c r="CJ25" i="3"/>
  <c r="CJ24" i="3"/>
  <c r="CJ23" i="3"/>
  <c r="CJ22" i="3"/>
  <c r="CJ21" i="3"/>
  <c r="CJ20" i="3"/>
  <c r="CJ19" i="3"/>
  <c r="CJ18" i="3"/>
  <c r="CJ17" i="3"/>
  <c r="CJ16" i="3"/>
  <c r="CJ15" i="3"/>
  <c r="CJ14" i="3"/>
  <c r="CJ13" i="3"/>
  <c r="CJ12" i="3"/>
  <c r="CJ11" i="3"/>
  <c r="CJ10" i="3"/>
  <c r="CJ9" i="3"/>
  <c r="AA10" i="3"/>
  <c r="AA1" i="3"/>
  <c r="X4" i="3"/>
  <c r="X3" i="3"/>
  <c r="BJ27" i="3"/>
  <c r="BJ26" i="3"/>
  <c r="BJ25" i="3"/>
  <c r="BJ24" i="3"/>
  <c r="BJ23" i="3"/>
  <c r="BJ22" i="3"/>
  <c r="BJ21" i="3"/>
  <c r="BJ20" i="3"/>
  <c r="BJ19" i="3"/>
  <c r="BJ18" i="3"/>
  <c r="BJ17" i="3"/>
  <c r="BJ16" i="3"/>
  <c r="BJ15" i="3"/>
  <c r="BJ14" i="3"/>
  <c r="BJ13" i="3"/>
  <c r="BJ12" i="3"/>
  <c r="BJ11" i="3"/>
  <c r="BJ10" i="3"/>
  <c r="BJ9" i="3"/>
  <c r="BJ8" i="3"/>
  <c r="BM8" i="3"/>
  <c r="BW8" i="3"/>
  <c r="BX8" i="3" s="1"/>
  <c r="BV8" i="3" s="1"/>
  <c r="BM9" i="3"/>
  <c r="BW9" i="3"/>
  <c r="BX9" i="3" s="1"/>
  <c r="BV9" i="3" s="1"/>
  <c r="BM10" i="3"/>
  <c r="BW10" i="3"/>
  <c r="BX10" i="3" s="1"/>
  <c r="BV10" i="3" s="1"/>
  <c r="BM11" i="3"/>
  <c r="BW11" i="3"/>
  <c r="BX11" i="3" s="1"/>
  <c r="BV11" i="3" s="1"/>
  <c r="BM12" i="3"/>
  <c r="BW12" i="3"/>
  <c r="BX12" i="3" s="1"/>
  <c r="BV12" i="3" s="1"/>
  <c r="BM13" i="3"/>
  <c r="BW13" i="3"/>
  <c r="BX13" i="3" s="1"/>
  <c r="BV13" i="3" s="1"/>
  <c r="BM14" i="3"/>
  <c r="BW14" i="3" s="1"/>
  <c r="BX14" i="3"/>
  <c r="BM15" i="3"/>
  <c r="BW15" i="3"/>
  <c r="BX15" i="3" s="1"/>
  <c r="BM16" i="3"/>
  <c r="BW16" i="3" s="1"/>
  <c r="BX16" i="3" s="1"/>
  <c r="BM17" i="3"/>
  <c r="BW17" i="3"/>
  <c r="BX17" i="3" s="1"/>
  <c r="BV17" i="3" s="1"/>
  <c r="BM18" i="3"/>
  <c r="BW18" i="3" s="1"/>
  <c r="BX18" i="3" s="1"/>
  <c r="BV18" i="3" s="1"/>
  <c r="BM19" i="3"/>
  <c r="BW19" i="3" s="1"/>
  <c r="BX19" i="3"/>
  <c r="BV19" i="3" s="1"/>
  <c r="BM20" i="3"/>
  <c r="BM21" i="3"/>
  <c r="BM22" i="3"/>
  <c r="BM23" i="3"/>
  <c r="BL8" i="3"/>
  <c r="BL9" i="3"/>
  <c r="BL11" i="3"/>
  <c r="BL12" i="3"/>
  <c r="BL10" i="3"/>
  <c r="BL13" i="3"/>
  <c r="BL14" i="3"/>
  <c r="BL15" i="3"/>
  <c r="BL16" i="3"/>
  <c r="BL17" i="3"/>
  <c r="BL18" i="3"/>
  <c r="BL19" i="3"/>
  <c r="BL20" i="3"/>
  <c r="BT20" i="3" s="1"/>
  <c r="BU20" i="3" s="1"/>
  <c r="BS20" i="3" s="1"/>
  <c r="BL21" i="3"/>
  <c r="BT21" i="3" s="1"/>
  <c r="BU21" i="3"/>
  <c r="BS21" i="3" s="1"/>
  <c r="BL22" i="3"/>
  <c r="BT22" i="3" s="1"/>
  <c r="BU22" i="3" s="1"/>
  <c r="BS22" i="3" s="1"/>
  <c r="BL23" i="3"/>
  <c r="BT23" i="3" s="1"/>
  <c r="BU23" i="3"/>
  <c r="BS23" i="3" s="1"/>
  <c r="BK8" i="3"/>
  <c r="BK9" i="3"/>
  <c r="BK10" i="3"/>
  <c r="BQ10" i="3" s="1"/>
  <c r="BK11" i="3"/>
  <c r="BK12" i="3"/>
  <c r="BK13" i="3"/>
  <c r="BK14" i="3"/>
  <c r="BQ14" i="3" s="1"/>
  <c r="BK15" i="3"/>
  <c r="BK16" i="3"/>
  <c r="BK17" i="3"/>
  <c r="BK18" i="3"/>
  <c r="BQ18" i="3" s="1"/>
  <c r="BR18" i="3" s="1"/>
  <c r="BP18" i="3" s="1"/>
  <c r="BK19" i="3"/>
  <c r="BK20" i="3"/>
  <c r="BQ20" i="3" s="1"/>
  <c r="BR20" i="3" s="1"/>
  <c r="BP20" i="3" s="1"/>
  <c r="BK21" i="3"/>
  <c r="BQ21" i="3" s="1"/>
  <c r="BR21" i="3"/>
  <c r="BP21" i="3" s="1"/>
  <c r="BK22" i="3"/>
  <c r="BQ22" i="3" s="1"/>
  <c r="BR22" i="3" s="1"/>
  <c r="BP22" i="3" s="1"/>
  <c r="BK23" i="3"/>
  <c r="BQ23" i="3" s="1"/>
  <c r="BR23" i="3"/>
  <c r="BP23" i="3" s="1"/>
  <c r="CD22" i="3"/>
  <c r="CF22" i="3" s="1"/>
  <c r="CD21" i="3"/>
  <c r="CF21" i="3" s="1"/>
  <c r="CD20" i="3"/>
  <c r="CA20" i="3" s="1"/>
  <c r="CD19" i="3"/>
  <c r="CF19" i="3" s="1"/>
  <c r="CD18" i="3"/>
  <c r="CA18" i="3" s="1"/>
  <c r="CD17" i="3"/>
  <c r="CD16" i="3"/>
  <c r="CA16" i="3" s="1"/>
  <c r="CD15" i="3"/>
  <c r="BQ15" i="3"/>
  <c r="BR15" i="3" s="1"/>
  <c r="CD14" i="3"/>
  <c r="CD13" i="3"/>
  <c r="CB13" i="3" s="1"/>
  <c r="CD12" i="3"/>
  <c r="CD11" i="3"/>
  <c r="CA11" i="3" s="1"/>
  <c r="CD10" i="3"/>
  <c r="CA10" i="3" s="1"/>
  <c r="CD9" i="3"/>
  <c r="CA9" i="3" s="1"/>
  <c r="CD8" i="3"/>
  <c r="CI27" i="3"/>
  <c r="CD27" i="3"/>
  <c r="CF27" i="3" s="1"/>
  <c r="CC27" i="3"/>
  <c r="CI26" i="3"/>
  <c r="CD26" i="3"/>
  <c r="CC26" i="3"/>
  <c r="CI25" i="3"/>
  <c r="CD25" i="3"/>
  <c r="CC25" i="3"/>
  <c r="CI24" i="3"/>
  <c r="CD24" i="3"/>
  <c r="CC24" i="3"/>
  <c r="CI23" i="3"/>
  <c r="CD23" i="3"/>
  <c r="CC23" i="3"/>
  <c r="CI22" i="3"/>
  <c r="AA22" i="3"/>
  <c r="CC22" i="3"/>
  <c r="CI21" i="3"/>
  <c r="AA21" i="3"/>
  <c r="J21" i="3"/>
  <c r="CE21" i="3" s="1"/>
  <c r="CC21" i="3"/>
  <c r="CI20" i="3"/>
  <c r="AA20" i="3"/>
  <c r="J20" i="3" s="1"/>
  <c r="CE20" i="3" s="1"/>
  <c r="CC20" i="3"/>
  <c r="CI19" i="3"/>
  <c r="AA19" i="3"/>
  <c r="J19" i="3"/>
  <c r="CE19" i="3" s="1"/>
  <c r="CC19" i="3"/>
  <c r="CI18" i="3"/>
  <c r="AA18" i="3"/>
  <c r="J18" i="3" s="1"/>
  <c r="CE18" i="3"/>
  <c r="CC18" i="3"/>
  <c r="CI17" i="3"/>
  <c r="AA17" i="3"/>
  <c r="J17" i="3"/>
  <c r="CE17" i="3" s="1"/>
  <c r="CC17" i="3"/>
  <c r="CI16" i="3"/>
  <c r="AA16" i="3"/>
  <c r="J16" i="3" s="1"/>
  <c r="CE16" i="3" s="1"/>
  <c r="CC16" i="3"/>
  <c r="CI15" i="3"/>
  <c r="AA15" i="3"/>
  <c r="J15" i="3"/>
  <c r="CE15" i="3" s="1"/>
  <c r="CC15" i="3"/>
  <c r="CI14" i="3"/>
  <c r="AA14" i="3"/>
  <c r="J14" i="3" s="1"/>
  <c r="CE14" i="3"/>
  <c r="CC14" i="3"/>
  <c r="CI13" i="3"/>
  <c r="AA13" i="3"/>
  <c r="J13" i="3"/>
  <c r="CE13" i="3" s="1"/>
  <c r="CC13" i="3"/>
  <c r="CI12" i="3"/>
  <c r="AA12" i="3"/>
  <c r="J12" i="3" s="1"/>
  <c r="CE12" i="3" s="1"/>
  <c r="CC12" i="3"/>
  <c r="CI11" i="3"/>
  <c r="AA11" i="3"/>
  <c r="J11" i="3"/>
  <c r="CE11" i="3" s="1"/>
  <c r="CC11" i="3"/>
  <c r="CI10" i="3"/>
  <c r="CC10" i="3"/>
  <c r="CI9" i="3"/>
  <c r="AA9" i="3"/>
  <c r="J9" i="3" s="1"/>
  <c r="CE9" i="3" s="1"/>
  <c r="CC9" i="3"/>
  <c r="AA8" i="3"/>
  <c r="J8" i="3" s="1"/>
  <c r="CE8" i="3" s="1"/>
  <c r="AB8" i="3"/>
  <c r="AC8" i="3"/>
  <c r="O8" i="3" s="1"/>
  <c r="AD8" i="3"/>
  <c r="AE8" i="3" s="1"/>
  <c r="U8" i="3" s="1"/>
  <c r="BH8" i="3"/>
  <c r="BI8" i="3"/>
  <c r="BI15" i="3"/>
  <c r="BH15" i="3"/>
  <c r="BI14" i="3"/>
  <c r="BH14" i="3"/>
  <c r="BI13" i="3"/>
  <c r="BH13" i="3"/>
  <c r="BI12" i="3"/>
  <c r="BH12" i="3"/>
  <c r="BI11" i="3"/>
  <c r="BH11" i="3"/>
  <c r="BI10" i="3"/>
  <c r="BH10" i="3"/>
  <c r="BI9" i="3"/>
  <c r="BH9" i="3"/>
  <c r="CI8" i="3"/>
  <c r="CC8" i="3"/>
  <c r="B4" i="2"/>
  <c r="BI22" i="3"/>
  <c r="BH22" i="3"/>
  <c r="BI21" i="3"/>
  <c r="BH21" i="3"/>
  <c r="BI20" i="3"/>
  <c r="BH20" i="3"/>
  <c r="BI19" i="3"/>
  <c r="BH19" i="3"/>
  <c r="BI18" i="3"/>
  <c r="BH18" i="3"/>
  <c r="BI17" i="3"/>
  <c r="BH17" i="3"/>
  <c r="BI16" i="3"/>
  <c r="BH16" i="3"/>
  <c r="A1" i="2"/>
  <c r="A46" i="2"/>
  <c r="BL24" i="3"/>
  <c r="BT24" i="3"/>
  <c r="BU24" i="3" s="1"/>
  <c r="BS24" i="3" s="1"/>
  <c r="BL25" i="3"/>
  <c r="BT25" i="3"/>
  <c r="BU25" i="3" s="1"/>
  <c r="BS25" i="3" s="1"/>
  <c r="BL26" i="3"/>
  <c r="BT26" i="3"/>
  <c r="BU26" i="3" s="1"/>
  <c r="BS26" i="3" s="1"/>
  <c r="BL27" i="3"/>
  <c r="BT27" i="3"/>
  <c r="BU27" i="3" s="1"/>
  <c r="BS27" i="3" s="1"/>
  <c r="AB9" i="3"/>
  <c r="AC9" i="3"/>
  <c r="O9" i="3" s="1"/>
  <c r="AD9" i="3"/>
  <c r="AE9" i="3"/>
  <c r="U9" i="3" s="1"/>
  <c r="AB10" i="3"/>
  <c r="AC10" i="3" s="1"/>
  <c r="AD10" i="3"/>
  <c r="AE10" i="3" s="1"/>
  <c r="S10" i="3" s="1"/>
  <c r="AB11" i="3"/>
  <c r="AC11" i="3"/>
  <c r="AD11" i="3"/>
  <c r="AE11" i="3"/>
  <c r="S11" i="3" s="1"/>
  <c r="AB12" i="3"/>
  <c r="AC12" i="3" s="1"/>
  <c r="AD12" i="3"/>
  <c r="AE12" i="3" s="1"/>
  <c r="U12" i="3" s="1"/>
  <c r="AB13" i="3"/>
  <c r="AC13" i="3"/>
  <c r="AD13" i="3"/>
  <c r="AE13" i="3"/>
  <c r="U13" i="3" s="1"/>
  <c r="AB14" i="3"/>
  <c r="AC14" i="3" s="1"/>
  <c r="AD14" i="3"/>
  <c r="AE14" i="3" s="1"/>
  <c r="U14" i="3"/>
  <c r="AB15" i="3"/>
  <c r="AC15" i="3"/>
  <c r="AD15" i="3"/>
  <c r="AE15" i="3"/>
  <c r="S15" i="3" s="1"/>
  <c r="AB16" i="3"/>
  <c r="AC16" i="3"/>
  <c r="M16" i="3" s="1"/>
  <c r="AD16" i="3"/>
  <c r="AE16" i="3" s="1"/>
  <c r="U16" i="3" s="1"/>
  <c r="AB17" i="3"/>
  <c r="AC17" i="3" s="1"/>
  <c r="O17" i="3"/>
  <c r="AD17" i="3"/>
  <c r="AE17" i="3"/>
  <c r="S17" i="3" s="1"/>
  <c r="AB18" i="3"/>
  <c r="AC18" i="3" s="1"/>
  <c r="M18" i="3" s="1"/>
  <c r="O18" i="3"/>
  <c r="AD18" i="3"/>
  <c r="AE18" i="3"/>
  <c r="AB19" i="3"/>
  <c r="AC19" i="3"/>
  <c r="O19" i="3" s="1"/>
  <c r="AD19" i="3"/>
  <c r="AE19" i="3" s="1"/>
  <c r="U19" i="3" s="1"/>
  <c r="AB20" i="3"/>
  <c r="AC20" i="3"/>
  <c r="M20" i="3" s="1"/>
  <c r="AD20" i="3"/>
  <c r="AE20" i="3" s="1"/>
  <c r="AB21" i="3"/>
  <c r="AC21" i="3" s="1"/>
  <c r="O21" i="3" s="1"/>
  <c r="AD21" i="3"/>
  <c r="AE21" i="3" s="1"/>
  <c r="AB22" i="3"/>
  <c r="AC22" i="3" s="1"/>
  <c r="O22" i="3" s="1"/>
  <c r="AD22" i="3"/>
  <c r="AE22" i="3"/>
  <c r="AA23" i="3"/>
  <c r="J23" i="3"/>
  <c r="CE23" i="3" s="1"/>
  <c r="AB23" i="3"/>
  <c r="AC23" i="3" s="1"/>
  <c r="O23" i="3"/>
  <c r="AD23" i="3"/>
  <c r="AE23" i="3"/>
  <c r="S23" i="3" s="1"/>
  <c r="BH23" i="3"/>
  <c r="BI23" i="3"/>
  <c r="AA24" i="3"/>
  <c r="J24" i="3"/>
  <c r="CE24" i="3" s="1"/>
  <c r="AB24" i="3"/>
  <c r="AC24" i="3" s="1"/>
  <c r="M24" i="3"/>
  <c r="AD24" i="3"/>
  <c r="AE24" i="3"/>
  <c r="S24" i="3" s="1"/>
  <c r="BH24" i="3"/>
  <c r="BI24" i="3"/>
  <c r="BK24" i="3"/>
  <c r="BQ24" i="3" s="1"/>
  <c r="BR24" i="3" s="1"/>
  <c r="BP24" i="3" s="1"/>
  <c r="BM24" i="3"/>
  <c r="AA25" i="3"/>
  <c r="J25" i="3"/>
  <c r="CE25" i="3" s="1"/>
  <c r="AB25" i="3"/>
  <c r="AC25" i="3" s="1"/>
  <c r="M25" i="3" s="1"/>
  <c r="AD25" i="3"/>
  <c r="AE25" i="3" s="1"/>
  <c r="U25" i="3"/>
  <c r="BH25" i="3"/>
  <c r="BI25" i="3"/>
  <c r="BK25" i="3"/>
  <c r="BQ25" i="3"/>
  <c r="BR25" i="3" s="1"/>
  <c r="BP25" i="3"/>
  <c r="BM25" i="3"/>
  <c r="AA26" i="3"/>
  <c r="J26" i="3" s="1"/>
  <c r="CE26" i="3"/>
  <c r="AB26" i="3"/>
  <c r="AC26" i="3"/>
  <c r="M26" i="3" s="1"/>
  <c r="AD26" i="3"/>
  <c r="AE26" i="3" s="1"/>
  <c r="U26" i="3"/>
  <c r="BH26" i="3"/>
  <c r="BI26" i="3"/>
  <c r="BK26" i="3"/>
  <c r="BQ26" i="3"/>
  <c r="BR26" i="3" s="1"/>
  <c r="BP26" i="3"/>
  <c r="BM26" i="3"/>
  <c r="BW26" i="3"/>
  <c r="BX26" i="3" s="1"/>
  <c r="BV26" i="3"/>
  <c r="AA27" i="3"/>
  <c r="J27" i="3"/>
  <c r="CE27" i="3" s="1"/>
  <c r="AB27" i="3"/>
  <c r="AC27" i="3" s="1"/>
  <c r="O27" i="3" s="1"/>
  <c r="M27" i="3"/>
  <c r="AD27" i="3"/>
  <c r="AE27" i="3"/>
  <c r="BH27" i="3"/>
  <c r="BI27" i="3"/>
  <c r="BK27" i="3"/>
  <c r="BQ27" i="3" s="1"/>
  <c r="BR27" i="3" s="1"/>
  <c r="BP27" i="3" s="1"/>
  <c r="BM27" i="3"/>
  <c r="BW27" i="3" s="1"/>
  <c r="BX27" i="3"/>
  <c r="BV27" i="3" s="1"/>
  <c r="CA23" i="3"/>
  <c r="BW24" i="3"/>
  <c r="BX24" i="3" s="1"/>
  <c r="CA22" i="3"/>
  <c r="CB12" i="3"/>
  <c r="U10" i="3"/>
  <c r="CF9" i="3"/>
  <c r="M23" i="3"/>
  <c r="BT19" i="3"/>
  <c r="BU19" i="3"/>
  <c r="BQ9" i="3"/>
  <c r="BR9" i="3"/>
  <c r="BR10" i="3"/>
  <c r="CB10" i="3"/>
  <c r="CB22" i="3"/>
  <c r="J22" i="3"/>
  <c r="CE22" i="3" s="1"/>
  <c r="CF8" i="3"/>
  <c r="CF11" i="3"/>
  <c r="CF16" i="3"/>
  <c r="CF20" i="3"/>
  <c r="CF24" i="3"/>
  <c r="BT15" i="3"/>
  <c r="BU15" i="3"/>
  <c r="CF18" i="3"/>
  <c r="CF10" i="3"/>
  <c r="BQ19" i="3"/>
  <c r="BR19" i="3"/>
  <c r="BT16" i="3"/>
  <c r="BU16" i="3"/>
  <c r="BW20" i="3"/>
  <c r="BX20" i="3"/>
  <c r="CF13" i="3"/>
  <c r="CF17" i="3"/>
  <c r="J10" i="3"/>
  <c r="CE10" i="3" s="1"/>
  <c r="S8" i="3"/>
  <c r="S25" i="3"/>
  <c r="M9" i="3"/>
  <c r="BT18" i="3"/>
  <c r="BU18" i="3" s="1"/>
  <c r="BT12" i="3"/>
  <c r="BU12" i="3" s="1"/>
  <c r="BW23" i="3"/>
  <c r="BX23" i="3" s="1"/>
  <c r="BQ16" i="3"/>
  <c r="BR16" i="3" s="1"/>
  <c r="BQ12" i="3"/>
  <c r="BR12" i="3" s="1"/>
  <c r="BT17" i="3"/>
  <c r="BU17" i="3" s="1"/>
  <c r="BT11" i="3"/>
  <c r="BU11" i="3" s="1"/>
  <c r="BW22" i="3"/>
  <c r="BX22" i="3" s="1"/>
  <c r="BQ11" i="3"/>
  <c r="BR11" i="3" s="1"/>
  <c r="BT10" i="3"/>
  <c r="BU10" i="3" s="1"/>
  <c r="BT9" i="3"/>
  <c r="BU9" i="3" s="1"/>
  <c r="BT8" i="3"/>
  <c r="BU8" i="3" s="1"/>
  <c r="BQ8" i="3"/>
  <c r="BR8" i="3" s="1"/>
  <c r="CB27" i="3"/>
  <c r="CA27" i="3"/>
  <c r="S26" i="3"/>
  <c r="U23" i="3"/>
  <c r="O25" i="3"/>
  <c r="M21" i="3"/>
  <c r="CB20" i="3"/>
  <c r="S16" i="3"/>
  <c r="CA14" i="3"/>
  <c r="BR14" i="3"/>
  <c r="CB18" i="3"/>
  <c r="BQ17" i="3"/>
  <c r="BR17" i="3" s="1"/>
  <c r="BV15" i="3"/>
  <c r="BV14" i="3"/>
  <c r="BV16" i="3"/>
  <c r="O16" i="3"/>
  <c r="CB16" i="3"/>
  <c r="CA13" i="3"/>
  <c r="J14" i="2"/>
  <c r="J30" i="2"/>
  <c r="S9" i="3"/>
  <c r="CB9" i="3"/>
  <c r="CB11" i="3"/>
  <c r="C13" i="2"/>
  <c r="C24" i="2"/>
  <c r="C25" i="2"/>
  <c r="J13" i="2"/>
  <c r="J27" i="2"/>
  <c r="J19" i="2"/>
  <c r="S20" i="3"/>
  <c r="U20" i="3"/>
  <c r="M14" i="3"/>
  <c r="O14" i="3"/>
  <c r="O10" i="3"/>
  <c r="M10" i="3"/>
  <c r="S21" i="3"/>
  <c r="U21" i="3"/>
  <c r="O15" i="3"/>
  <c r="M15" i="3"/>
  <c r="O11" i="3"/>
  <c r="M11" i="3"/>
  <c r="U22" i="3"/>
  <c r="S22" i="3"/>
  <c r="S18" i="3"/>
  <c r="U18" i="3"/>
  <c r="M12" i="3"/>
  <c r="O12" i="3"/>
  <c r="M13" i="3"/>
  <c r="O13" i="3"/>
  <c r="C18" i="2"/>
  <c r="C23" i="2"/>
  <c r="J26" i="2"/>
  <c r="C15" i="2"/>
  <c r="C28" i="2" s="1"/>
  <c r="C30" i="2" s="1"/>
  <c r="C32" i="2" s="1"/>
  <c r="C43" i="2" s="1"/>
  <c r="M17" i="3"/>
  <c r="BL6" i="3"/>
  <c r="C19" i="2"/>
  <c r="M8" i="3"/>
  <c r="J16" i="2"/>
  <c r="C14" i="2"/>
  <c r="C17" i="2"/>
  <c r="J17" i="2"/>
  <c r="C16" i="2"/>
  <c r="J23" i="2"/>
  <c r="S12" i="3"/>
  <c r="U11" i="3"/>
  <c r="O26" i="3"/>
  <c r="O20" i="3"/>
  <c r="S13" i="3"/>
  <c r="U24" i="3"/>
  <c r="S14" i="3"/>
  <c r="S19" i="3"/>
  <c r="CA25" i="3"/>
  <c r="J24" i="2"/>
  <c r="C27" i="2"/>
  <c r="C26" i="2"/>
  <c r="J15" i="2"/>
  <c r="J28" i="2" s="1"/>
  <c r="C20" i="2"/>
  <c r="U17" i="3"/>
  <c r="O24" i="3"/>
  <c r="M19" i="3"/>
  <c r="BW25" i="3"/>
  <c r="BX25" i="3" s="1"/>
  <c r="BV25" i="3" s="1"/>
  <c r="BM6" i="3"/>
  <c r="CB21" i="3"/>
  <c r="CA21" i="3"/>
  <c r="BW21" i="3"/>
  <c r="BX21" i="3" s="1"/>
  <c r="BV21" i="3" s="1"/>
  <c r="BK6" i="3"/>
  <c r="BV24" i="3"/>
  <c r="BT14" i="3"/>
  <c r="BU14" i="3" s="1"/>
  <c r="BS14" i="3" s="1"/>
  <c r="BQ13" i="3"/>
  <c r="BR13" i="3"/>
  <c r="BP17" i="3"/>
  <c r="BT13" i="3"/>
  <c r="BU13" i="3"/>
  <c r="BS13" i="3" s="1"/>
  <c r="BS15" i="3"/>
  <c r="BV22" i="3"/>
  <c r="BV23" i="3"/>
  <c r="BV20" i="3"/>
  <c r="BP10" i="3"/>
  <c r="BK28" i="3"/>
  <c r="CF29" i="3" s="1"/>
  <c r="C21" i="2"/>
  <c r="J21" i="2"/>
  <c r="BK30" i="3"/>
  <c r="CB31" i="3" s="1"/>
  <c r="BK29" i="3"/>
  <c r="CB30" i="3" s="1"/>
  <c r="C22" i="2"/>
  <c r="BS11" i="3"/>
  <c r="BP19" i="3"/>
  <c r="BP12" i="3"/>
  <c r="BP15" i="3"/>
  <c r="BS12" i="3"/>
  <c r="BP8" i="3"/>
  <c r="BP13" i="3"/>
  <c r="BS18" i="3"/>
  <c r="BP9" i="3"/>
  <c r="BP11" i="3"/>
  <c r="BP16" i="3"/>
  <c r="BS17" i="3"/>
  <c r="BS16" i="3"/>
  <c r="BS10" i="3"/>
  <c r="BS9" i="3"/>
  <c r="BS8" i="3"/>
  <c r="BS19" i="3"/>
  <c r="BP14" i="3"/>
  <c r="BL30" i="3"/>
  <c r="BL28" i="3"/>
  <c r="CB29" i="3"/>
  <c r="CD29" i="3" s="1"/>
  <c r="CF31" i="3"/>
  <c r="BP28" i="3" l="1"/>
  <c r="CI30" i="3"/>
  <c r="CH30" i="3"/>
  <c r="CD30" i="3"/>
  <c r="CJ30" i="3"/>
  <c r="CG30" i="3"/>
  <c r="CC30" i="3"/>
  <c r="CE30" i="3"/>
  <c r="BS28" i="3"/>
  <c r="CJ31" i="3"/>
  <c r="CH31" i="3"/>
  <c r="CD31" i="3"/>
  <c r="CI31" i="3"/>
  <c r="CG31" i="3"/>
  <c r="CE31" i="3"/>
  <c r="CC31" i="3"/>
  <c r="BV28" i="3"/>
  <c r="CB24" i="3"/>
  <c r="CA24" i="3"/>
  <c r="M22" i="3"/>
  <c r="CF23" i="3"/>
  <c r="CB23" i="3"/>
  <c r="CB14" i="3"/>
  <c r="CF14" i="3"/>
  <c r="CB17" i="3"/>
  <c r="CA17" i="3"/>
  <c r="CJ29" i="3"/>
  <c r="CH29" i="3"/>
  <c r="CE29" i="3"/>
  <c r="BL29" i="3"/>
  <c r="BL31" i="3" s="1"/>
  <c r="CG29" i="3"/>
  <c r="CI29" i="3"/>
  <c r="U15" i="3"/>
  <c r="U27" i="3"/>
  <c r="S27" i="3"/>
  <c r="CF26" i="3"/>
  <c r="CB26" i="3"/>
  <c r="CA26" i="3"/>
  <c r="CF30" i="3"/>
  <c r="CC29" i="3"/>
  <c r="CB25" i="3"/>
  <c r="CF25" i="3"/>
  <c r="CA8" i="3"/>
  <c r="CB8" i="3"/>
  <c r="CF12" i="3"/>
  <c r="CA12" i="3"/>
  <c r="CA15" i="3"/>
  <c r="CF15" i="3"/>
  <c r="CB15" i="3"/>
  <c r="CB19" i="3"/>
  <c r="CA19" i="3"/>
  <c r="J29" i="3" l="1"/>
  <c r="AA29" i="3" s="1"/>
  <c r="J28" i="3"/>
  <c r="AA28" i="3" s="1"/>
  <c r="J30" i="3"/>
  <c r="AA30" i="3" s="1"/>
  <c r="CK31" i="3"/>
  <c r="CL31" i="3"/>
  <c r="CL30" i="3"/>
  <c r="CK30" i="3"/>
  <c r="CK29" i="3"/>
  <c r="M30" i="3" l="1"/>
  <c r="O30" i="3"/>
  <c r="M28" i="3"/>
  <c r="O28" i="3"/>
  <c r="O29" i="3"/>
  <c r="M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HIO</author>
  </authors>
  <commentList>
    <comment ref="A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大会名を選んでください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まず学校番号を入力してください
（高体連学校登録に合わせて新しく番号を振りなおしました/2022年4月）</t>
        </r>
      </text>
    </comment>
    <comment ref="K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校長名を入力のうえ押印をお願いします</t>
        </r>
      </text>
    </comment>
    <comment ref="T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申込責任者の先生のお名前を入力のうえ押印をお願いします</t>
        </r>
      </text>
    </comment>
    <comment ref="L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表示されない場合には手書きしてください</t>
        </r>
      </text>
    </comment>
    <comment ref="B6" authorId="0" shapeId="0" xr:uid="{00000000-0006-0000-0000-000006000000}">
      <text>
        <r>
          <rPr>
            <b/>
            <sz val="12"/>
            <color indexed="81"/>
            <rFont val="MS P ゴシック"/>
            <family val="3"/>
            <charset val="128"/>
          </rPr>
          <t>まず入力してください
２０名を超える場合には申告してください
（２１人目以降の入力を別ファイルにして作成してください）</t>
        </r>
      </text>
    </comment>
    <comment ref="C6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
外字登録が必要な場合にはいったん当て字で入力して
いただいたうえで申し込み時に申告してください</t>
        </r>
      </text>
    </comment>
    <comment ref="E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</t>
        </r>
      </text>
    </comment>
    <comment ref="G6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学年を選んでください
無学年の場合は空欄のままでお願いします</t>
        </r>
      </text>
    </comment>
    <comment ref="H6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男子：Ｍ
女子：Ｆ
を選んでください</t>
        </r>
      </text>
    </comment>
    <comment ref="I6" authorId="0" shapeId="0" xr:uid="{00000000-0006-0000-0000-00000B000000}">
      <text>
        <r>
          <rPr>
            <b/>
            <sz val="12"/>
            <color indexed="81"/>
            <rFont val="MS P ゴシック"/>
            <family val="3"/>
            <charset val="128"/>
          </rPr>
          <t>"/"をはさんで西暦10桁で入力してください
 例　２００１年２月３日"生まれの場合
 　　 → 2001/02/03 と入力する
 　　 → 010203 と６桁で表示される</t>
        </r>
      </text>
    </comment>
    <comment ref="K6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選んでください</t>
        </r>
      </text>
    </comment>
    <comment ref="L6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番組編成のために必要ですので可能な限り入力してください（練習での記録でもかまいません）</t>
        </r>
      </text>
    </comment>
    <comment ref="Q6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選んでください</t>
        </r>
      </text>
    </comment>
    <comment ref="R6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番組編成のために必要ですので可能な限り入力してください（練習での記録でもかまいません）</t>
        </r>
      </text>
    </comment>
    <comment ref="W6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出場する場合には"○"を選んでください
参考記録入力欄は表の下にあります</t>
        </r>
      </text>
    </comment>
    <comment ref="X6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出場する場合には"○"を選んでください
参考記録入力欄は表の下にあります</t>
        </r>
      </text>
    </comment>
    <comment ref="J28" authorId="0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リレー種目にエントリーする場合にはここに表示されますので記録を入力してください</t>
        </r>
      </text>
    </comment>
  </commentList>
</comments>
</file>

<file path=xl/sharedStrings.xml><?xml version="1.0" encoding="utf-8"?>
<sst xmlns="http://schemas.openxmlformats.org/spreadsheetml/2006/main" count="523" uniqueCount="414">
  <si>
    <t>②</t>
    <phoneticPr fontId="1"/>
  </si>
  <si>
    <t>③</t>
    <phoneticPr fontId="1"/>
  </si>
  <si>
    <t>番号</t>
    <rPh sb="0" eb="2">
      <t>バンゴウ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</si>
  <si>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</si>
  <si>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</si>
  <si>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
月日</t>
    <rPh sb="0" eb="2">
      <t>セイネン</t>
    </rPh>
    <rPh sb="3" eb="5">
      <t>ガッピ</t>
    </rPh>
    <phoneticPr fontId="1"/>
  </si>
  <si>
    <t>LJ</t>
  </si>
  <si>
    <t>HJ</t>
  </si>
  <si>
    <t>TJ</t>
  </si>
  <si>
    <t>SP</t>
  </si>
  <si>
    <t>DT</t>
  </si>
  <si>
    <t>男子</t>
    <rPh sb="0" eb="2">
      <t>ダンシ</t>
    </rPh>
    <phoneticPr fontId="1"/>
  </si>
  <si>
    <t>女子</t>
    <rPh sb="0" eb="2">
      <t>ジョシ</t>
    </rPh>
    <phoneticPr fontId="1"/>
  </si>
  <si>
    <t>○</t>
    <phoneticPr fontId="1"/>
  </si>
  <si>
    <t>大会名</t>
    <rPh sb="0" eb="2">
      <t>タイカイ</t>
    </rPh>
    <rPh sb="2" eb="3">
      <t>メイ</t>
    </rPh>
    <phoneticPr fontId="1"/>
  </si>
  <si>
    <t>547-0026</t>
  </si>
  <si>
    <t>06-6704-6800</t>
  </si>
  <si>
    <t>06-6704-7994</t>
  </si>
  <si>
    <t>春日丘</t>
  </si>
  <si>
    <t>ｶｽｶﾞｵｶ</t>
  </si>
  <si>
    <t>567-0031</t>
  </si>
  <si>
    <t>茨木市春日2-1-2</t>
  </si>
  <si>
    <t>072-623-0761</t>
  </si>
  <si>
    <t>ｷｼﾜﾀﾞｻﾝｷﾞｮｳ</t>
  </si>
  <si>
    <t>596-0045</t>
  </si>
  <si>
    <t>大阪府岸和田市別所町3-33-1</t>
  </si>
  <si>
    <t>072-422-4861</t>
  </si>
  <si>
    <t>072-422-6111</t>
  </si>
  <si>
    <t>向陽台</t>
  </si>
  <si>
    <t>ｺｳﾖｳﾀﾞｲ</t>
  </si>
  <si>
    <t>567-0051</t>
  </si>
  <si>
    <t>茨木市宿久庄7-20-1</t>
  </si>
  <si>
    <t>072-643-0455</t>
  </si>
  <si>
    <t>590-0025</t>
  </si>
  <si>
    <t>072-240-0841</t>
  </si>
  <si>
    <t>072-252-6404</t>
  </si>
  <si>
    <t>長尾谷</t>
  </si>
  <si>
    <t>ﾅｶﾞｵﾀﾞﾆ</t>
  </si>
  <si>
    <t>573-0163</t>
  </si>
  <si>
    <t>枚方市長尾元町2-29-27</t>
  </si>
  <si>
    <t>072-850-9111</t>
  </si>
  <si>
    <t>072-850-6116</t>
  </si>
  <si>
    <t>573-1178</t>
  </si>
  <si>
    <t>072-840-5800</t>
  </si>
  <si>
    <t>072-840-7557</t>
  </si>
  <si>
    <t>545-0004</t>
  </si>
  <si>
    <t>06-6623-0150</t>
  </si>
  <si>
    <t>06-6623-8495</t>
  </si>
  <si>
    <t>寝屋川</t>
  </si>
  <si>
    <t>布施</t>
  </si>
  <si>
    <t>ﾌｾ</t>
  </si>
  <si>
    <t>東大阪市下小阪3-14-21</t>
  </si>
  <si>
    <t>06-6723-7500</t>
  </si>
  <si>
    <t>06-6723-4699</t>
  </si>
  <si>
    <t>593-8327</t>
  </si>
  <si>
    <t>072-262-8281</t>
  </si>
  <si>
    <t>072-262-8282</t>
  </si>
  <si>
    <t>大手前</t>
  </si>
  <si>
    <t>ｵｵﾃﾏｴ</t>
  </si>
  <si>
    <t>540-0008</t>
  </si>
  <si>
    <t>大阪市中央区大手前2-1-11</t>
  </si>
  <si>
    <t>06-6941-3163</t>
  </si>
  <si>
    <t>桃谷通</t>
  </si>
  <si>
    <t>544-0021</t>
  </si>
  <si>
    <t>大阪市生野区勝山南3-1-4</t>
  </si>
  <si>
    <t>06-6712-0371</t>
  </si>
  <si>
    <t>06-6712-2939</t>
  </si>
  <si>
    <t>桜塚</t>
  </si>
  <si>
    <t>ｻｸﾗﾂﾞｶ</t>
  </si>
  <si>
    <t>561-0881</t>
  </si>
  <si>
    <t>豊中市中桜塚4-1-1</t>
  </si>
  <si>
    <t>06-6853-2244</t>
  </si>
  <si>
    <t>06-6853-0825</t>
  </si>
  <si>
    <t>成城</t>
  </si>
  <si>
    <t>ｾｲｼﾞｮｳ</t>
  </si>
  <si>
    <t>536-0021</t>
  </si>
  <si>
    <t>06-6962-8932</t>
  </si>
  <si>
    <t>ﾁｭｳｵｳ</t>
  </si>
  <si>
    <t>540-0035</t>
  </si>
  <si>
    <t>06-6944-4401</t>
  </si>
  <si>
    <t>06-6944-4409</t>
  </si>
  <si>
    <t>583-0021</t>
  </si>
  <si>
    <t>藤井寺市御舟町10-1</t>
  </si>
  <si>
    <t>072-955-0281</t>
  </si>
  <si>
    <t>072-939-0098</t>
  </si>
  <si>
    <t>三国丘</t>
  </si>
  <si>
    <t>ﾐｸﾆｶﾞｵｶ</t>
  </si>
  <si>
    <t>590-0023</t>
  </si>
  <si>
    <t>072-233-6005</t>
  </si>
  <si>
    <t>072-233-6779</t>
  </si>
  <si>
    <t>534-0015</t>
  </si>
  <si>
    <t>06-6921-4236</t>
  </si>
  <si>
    <t>06-6925-3969</t>
  </si>
  <si>
    <t>天王寺学館</t>
  </si>
  <si>
    <t>ﾃﾝﾉｳｼﾞｶﾞｯｶﾝ</t>
  </si>
  <si>
    <t>クラーク大阪</t>
  </si>
  <si>
    <t>543-0045</t>
  </si>
  <si>
    <t>大阪市天王寺区寺田町2-1-21</t>
  </si>
  <si>
    <t>06-6772-6666</t>
  </si>
  <si>
    <t>06-6772-9888</t>
  </si>
  <si>
    <t>532-0011</t>
  </si>
  <si>
    <t>06-6300-5650</t>
  </si>
  <si>
    <t>06-6300-5651</t>
  </si>
  <si>
    <t>向陽台高等学校</t>
  </si>
  <si>
    <t>長尾谷高等学校</t>
  </si>
  <si>
    <t>八洲学園高等学校</t>
  </si>
  <si>
    <t>ＹＭＣＡ学院高等学校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</si>
  <si>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</si>
  <si>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</si>
  <si>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</si>
  <si>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-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</si>
  <si>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</si>
  <si>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学校番号</t>
    <rPh sb="0" eb="2">
      <t>ガッコウ</t>
    </rPh>
    <rPh sb="2" eb="4">
      <t>バンゴウ</t>
    </rPh>
    <phoneticPr fontId="1"/>
  </si>
  <si>
    <t>略称</t>
    <rPh sb="0" eb="2">
      <t>リャクショウ</t>
    </rPh>
    <phoneticPr fontId="1"/>
  </si>
  <si>
    <t>競技会当日審判をしていただける先生</t>
    <rPh sb="0" eb="3">
      <t>キョウギカイ</t>
    </rPh>
    <rPh sb="3" eb="5">
      <t>トウジツ</t>
    </rPh>
    <rPh sb="5" eb="7">
      <t>シンパン</t>
    </rPh>
    <rPh sb="15" eb="17">
      <t>センセイ</t>
    </rPh>
    <phoneticPr fontId="1"/>
  </si>
  <si>
    <t>①</t>
    <phoneticPr fontId="1"/>
  </si>
  <si>
    <t>④</t>
    <phoneticPr fontId="1"/>
  </si>
  <si>
    <t>⑤</t>
    <phoneticPr fontId="1"/>
  </si>
  <si>
    <t>⑥</t>
    <phoneticPr fontId="1"/>
  </si>
  <si>
    <t>参加人数集計</t>
    <rPh sb="0" eb="2">
      <t>サンカ</t>
    </rPh>
    <rPh sb="2" eb="4">
      <t>ニンズウ</t>
    </rPh>
    <rPh sb="4" eb="6">
      <t>シュウケイ</t>
    </rPh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</si>
  <si>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</si>
  <si>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</si>
  <si>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400H</t>
    <phoneticPr fontId="1"/>
  </si>
  <si>
    <t>100H</t>
    <phoneticPr fontId="1"/>
  </si>
  <si>
    <t>3000SC</t>
    <phoneticPr fontId="1"/>
  </si>
  <si>
    <t>4×100R</t>
    <phoneticPr fontId="1"/>
  </si>
  <si>
    <t>4×400R</t>
    <phoneticPr fontId="1"/>
  </si>
  <si>
    <t>走幅跳</t>
    <rPh sb="0" eb="1">
      <t>ハシ</t>
    </rPh>
    <rPh sb="1" eb="2">
      <t>ハバ</t>
    </rPh>
    <rPh sb="2" eb="3">
      <t>ト</t>
    </rPh>
    <phoneticPr fontId="1"/>
  </si>
  <si>
    <t>走高跳</t>
    <rPh sb="0" eb="1">
      <t>ハシ</t>
    </rPh>
    <rPh sb="1" eb="3">
      <t>タカト</t>
    </rPh>
    <phoneticPr fontId="1"/>
  </si>
  <si>
    <t>三段跳</t>
    <rPh sb="0" eb="3">
      <t>サンダント</t>
    </rPh>
    <phoneticPr fontId="1"/>
  </si>
  <si>
    <t>砲丸投</t>
    <rPh sb="0" eb="3">
      <t>ホウガンナ</t>
    </rPh>
    <phoneticPr fontId="1"/>
  </si>
  <si>
    <t>円盤投</t>
    <rPh sb="0" eb="3">
      <t>エンバンナ</t>
    </rPh>
    <phoneticPr fontId="1"/>
  </si>
  <si>
    <t>合計</t>
    <rPh sb="0" eb="2">
      <t>ゴウケイ</t>
    </rPh>
    <phoneticPr fontId="1"/>
  </si>
  <si>
    <t>学校合計</t>
    <rPh sb="0" eb="2">
      <t>ガッコウ</t>
    </rPh>
    <rPh sb="2" eb="4">
      <t>ゴウケイ</t>
    </rPh>
    <phoneticPr fontId="1"/>
  </si>
  <si>
    <t>リレーのみの参加者</t>
    <rPh sb="6" eb="9">
      <t>サンカシャ</t>
    </rPh>
    <phoneticPr fontId="1"/>
  </si>
  <si>
    <t>参加料（円）</t>
    <rPh sb="0" eb="3">
      <t>サンカリョウ</t>
    </rPh>
    <rPh sb="4" eb="5">
      <t>エン</t>
    </rPh>
    <phoneticPr fontId="1"/>
  </si>
  <si>
    <t>領収書</t>
    <rPh sb="0" eb="3">
      <t>リョウシュウショ</t>
    </rPh>
    <phoneticPr fontId="1"/>
  </si>
  <si>
    <t>様</t>
    <rPh sb="0" eb="1">
      <t>サマ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</si>
  <si>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</si>
  <si>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</si>
  <si>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　参加調査票</t>
    <phoneticPr fontId="1"/>
  </si>
  <si>
    <t>種目①</t>
    <rPh sb="0" eb="2">
      <t>シュモク</t>
    </rPh>
    <phoneticPr fontId="1"/>
  </si>
  <si>
    <t>種目②</t>
    <rPh sb="0" eb="2">
      <t>シュモク</t>
    </rPh>
    <phoneticPr fontId="1"/>
  </si>
  <si>
    <t>3000SC</t>
    <phoneticPr fontId="1"/>
  </si>
  <si>
    <t>100H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</si>
  <si>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</si>
  <si>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</si>
  <si>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</si>
  <si>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参加申込書</t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</si>
  <si>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</si>
  <si>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</si>
  <si>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校長印</t>
    <rPh sb="0" eb="2">
      <t>コウチョウ</t>
    </rPh>
    <rPh sb="2" eb="3">
      <t>イン</t>
    </rPh>
    <phoneticPr fontId="1"/>
  </si>
  <si>
    <t>顧</t>
    <rPh sb="0" eb="1">
      <t>コモン</t>
    </rPh>
    <phoneticPr fontId="1"/>
  </si>
  <si>
    <t>①</t>
    <phoneticPr fontId="1"/>
  </si>
  <si>
    <t>印</t>
    <rPh sb="0" eb="1">
      <t>イン</t>
    </rPh>
    <phoneticPr fontId="1"/>
  </si>
  <si>
    <t>所在地</t>
    <rPh sb="0" eb="3">
      <t>ショザイチ</t>
    </rPh>
    <phoneticPr fontId="1"/>
  </si>
  <si>
    <t>問</t>
    <rPh sb="0" eb="1">
      <t>コモン</t>
    </rPh>
    <phoneticPr fontId="1"/>
  </si>
  <si>
    <t>②</t>
    <phoneticPr fontId="1"/>
  </si>
  <si>
    <t>連絡先</t>
    <rPh sb="0" eb="3">
      <t>レンラクサキ</t>
    </rPh>
    <phoneticPr fontId="1"/>
  </si>
  <si>
    <t>(申込責任者氏名)</t>
    <rPh sb="1" eb="3">
      <t>モウシコミ</t>
    </rPh>
    <rPh sb="3" eb="6">
      <t>セキニンシャ</t>
    </rPh>
    <rPh sb="6" eb="8">
      <t>シメイ</t>
    </rPh>
    <phoneticPr fontId="1"/>
  </si>
  <si>
    <t>TEL</t>
    <phoneticPr fontId="1"/>
  </si>
  <si>
    <t>FAX</t>
    <phoneticPr fontId="1"/>
  </si>
  <si>
    <t>③</t>
    <phoneticPr fontId="1"/>
  </si>
  <si>
    <t>ﾅﾝﾊﾞｰｶｰﾄﾞ</t>
    <phoneticPr fontId="1"/>
  </si>
  <si>
    <t>ﾌﾘｶﾞﾅ</t>
    <phoneticPr fontId="1"/>
  </si>
  <si>
    <t>学校名略称</t>
    <phoneticPr fontId="1"/>
  </si>
  <si>
    <t>種目①</t>
    <phoneticPr fontId="1"/>
  </si>
  <si>
    <t>参考記録</t>
    <rPh sb="0" eb="2">
      <t>サンコウ</t>
    </rPh>
    <phoneticPr fontId="1"/>
  </si>
  <si>
    <t>種目②</t>
    <phoneticPr fontId="1"/>
  </si>
  <si>
    <t>4×
100R</t>
    <phoneticPr fontId="1"/>
  </si>
  <si>
    <t>4×
400R</t>
    <phoneticPr fontId="1"/>
  </si>
  <si>
    <t>ｾｲ</t>
    <phoneticPr fontId="1"/>
  </si>
  <si>
    <t>ﾒｲ</t>
    <phoneticPr fontId="1"/>
  </si>
  <si>
    <t>入力</t>
    <rPh sb="0" eb="2">
      <t>ニュウリョク</t>
    </rPh>
    <phoneticPr fontId="7"/>
  </si>
  <si>
    <t>①</t>
    <phoneticPr fontId="7"/>
  </si>
  <si>
    <t>②</t>
    <phoneticPr fontId="7"/>
  </si>
  <si>
    <t>リレーのみ</t>
    <phoneticPr fontId="1"/>
  </si>
  <si>
    <t>M4K</t>
    <phoneticPr fontId="1"/>
  </si>
  <si>
    <t>Mmile</t>
    <phoneticPr fontId="1"/>
  </si>
  <si>
    <t>F4K</t>
    <phoneticPr fontId="1"/>
  </si>
  <si>
    <t>リレー</t>
    <phoneticPr fontId="1"/>
  </si>
  <si>
    <t>コード</t>
    <phoneticPr fontId="7"/>
  </si>
  <si>
    <t>参考記録</t>
    <rPh sb="0" eb="2">
      <t>サンコウ</t>
    </rPh>
    <rPh sb="2" eb="4">
      <t>キロク</t>
    </rPh>
    <phoneticPr fontId="7"/>
  </si>
  <si>
    <t>走幅跳</t>
    <rPh sb="0" eb="1">
      <t>ハシ</t>
    </rPh>
    <rPh sb="1" eb="3">
      <t>ハバト</t>
    </rPh>
    <phoneticPr fontId="1"/>
  </si>
  <si>
    <t>M</t>
    <phoneticPr fontId="1"/>
  </si>
  <si>
    <t>分</t>
    <rPh sb="0" eb="1">
      <t>フン</t>
    </rPh>
    <phoneticPr fontId="7"/>
  </si>
  <si>
    <t>秒</t>
    <rPh sb="0" eb="1">
      <t>ビョウ</t>
    </rPh>
    <phoneticPr fontId="7"/>
  </si>
  <si>
    <t>F</t>
    <phoneticPr fontId="1"/>
  </si>
  <si>
    <t>100H</t>
    <phoneticPr fontId="1"/>
  </si>
  <si>
    <t>3000SC</t>
    <phoneticPr fontId="1"/>
  </si>
  <si>
    <t>400H</t>
    <phoneticPr fontId="1"/>
  </si>
  <si>
    <t>男子4×100R</t>
    <rPh sb="0" eb="2">
      <t>ダンシ</t>
    </rPh>
    <phoneticPr fontId="7"/>
  </si>
  <si>
    <t>男子4×400R</t>
    <rPh sb="0" eb="2">
      <t>ダンシ</t>
    </rPh>
    <phoneticPr fontId="7"/>
  </si>
  <si>
    <t>女子4×100R</t>
    <rPh sb="0" eb="2">
      <t>ジョシ</t>
    </rPh>
    <phoneticPr fontId="7"/>
  </si>
  <si>
    <t>mat</t>
    <phoneticPr fontId="7"/>
  </si>
  <si>
    <t>DB</t>
  </si>
  <si>
    <t>N1</t>
  </si>
  <si>
    <t>N2</t>
  </si>
  <si>
    <t>SX</t>
  </si>
  <si>
    <t>KC</t>
  </si>
  <si>
    <t>MC</t>
  </si>
  <si>
    <t>TL</t>
  </si>
  <si>
    <t>WT</t>
  </si>
  <si>
    <t>ZK</t>
  </si>
  <si>
    <t>S1</t>
  </si>
  <si>
    <t>S2</t>
  </si>
  <si>
    <t>　</t>
    <phoneticPr fontId="7"/>
  </si>
  <si>
    <t>　　</t>
    <phoneticPr fontId="7"/>
  </si>
  <si>
    <t>M_400r</t>
    <phoneticPr fontId="7"/>
  </si>
  <si>
    <t>M_1600r</t>
    <phoneticPr fontId="7"/>
  </si>
  <si>
    <t>F_400r</t>
    <phoneticPr fontId="7"/>
  </si>
  <si>
    <t>N3</t>
  </si>
  <si>
    <t>TM</t>
  </si>
  <si>
    <t>S3</t>
  </si>
  <si>
    <t>S4</t>
  </si>
  <si>
    <t>S5</t>
  </si>
  <si>
    <t>S6</t>
  </si>
  <si>
    <t>ﾈﾔｶﾞﾜ</t>
  </si>
  <si>
    <t>572-0832</t>
  </si>
  <si>
    <t>072-821-0546</t>
  </si>
  <si>
    <t>072-820-3849</t>
  </si>
  <si>
    <t>072-623-1331</t>
  </si>
  <si>
    <t>072-623-0652</t>
  </si>
  <si>
    <t>06-6631-0055</t>
  </si>
  <si>
    <t>06-6645-7618</t>
  </si>
  <si>
    <t>547-0041</t>
  </si>
  <si>
    <t>06-6795-1860</t>
  </si>
  <si>
    <t>06-6795-1866</t>
  </si>
  <si>
    <t>594-0082</t>
  </si>
  <si>
    <t>0725-41-1250</t>
  </si>
  <si>
    <t>0725-45-8985</t>
  </si>
  <si>
    <t>ｍ</t>
    <phoneticPr fontId="7"/>
  </si>
  <si>
    <t/>
  </si>
  <si>
    <t>553-0007</t>
  </si>
  <si>
    <t>06-6461-3483</t>
  </si>
  <si>
    <t>06-6461-0023</t>
  </si>
  <si>
    <t>ﾆｯｷｮｳｺｳｶﾝｻｲｼﾞｮｳﾎｳ</t>
  </si>
  <si>
    <t>堺</t>
  </si>
  <si>
    <t>ｻｶｲ</t>
  </si>
  <si>
    <t>ﾆｼﾉﾀﾞｺｳｶ</t>
  </si>
  <si>
    <t>大阪市福島区大開2-17-62</t>
  </si>
  <si>
    <t>ｲﾏﾐﾔｺｳｶ</t>
  </si>
  <si>
    <t>543-0017</t>
  </si>
  <si>
    <t>06-6761-3693</t>
  </si>
  <si>
    <t>06-6761-5810</t>
  </si>
  <si>
    <t>ｻｶｲｺｳｶ</t>
  </si>
  <si>
    <t>ｻﾉｺｳｶ</t>
  </si>
  <si>
    <t>ﾌｼﾞｲﾃﾞﾗｺｳｶ</t>
  </si>
  <si>
    <t>06-6719-0170</t>
  </si>
  <si>
    <t>06-6719-0111</t>
  </si>
  <si>
    <t>令和</t>
    <rPh sb="0" eb="2">
      <t>レイワ</t>
    </rPh>
    <phoneticPr fontId="1"/>
  </si>
  <si>
    <t>府立桜塚高等学校（定）</t>
  </si>
  <si>
    <t>府立春日丘高等学校（定）</t>
  </si>
  <si>
    <t>072-623-2062</t>
  </si>
  <si>
    <t>府立大手前高等学校（定）</t>
  </si>
  <si>
    <t>06-6941-0056</t>
  </si>
  <si>
    <t>府立寝屋川高等学校（定）</t>
  </si>
  <si>
    <t>寝屋川市本町15-64</t>
  </si>
  <si>
    <t>府立布施高等学校（定）</t>
  </si>
  <si>
    <t>574-0803</t>
  </si>
  <si>
    <t>府立三国丘高等学校（定）</t>
  </si>
  <si>
    <t>堺市堺区南三国ケ丘町2-2-36</t>
  </si>
  <si>
    <t>府立成城高等学校（定）</t>
  </si>
  <si>
    <t>大阪府大阪市城東区諏訪3-11-41</t>
  </si>
  <si>
    <t>06-6962-2801</t>
  </si>
  <si>
    <t>和泉総合</t>
    <rPh sb="0" eb="2">
      <t>イズミ</t>
    </rPh>
    <rPh sb="2" eb="4">
      <t>ソウゴウ</t>
    </rPh>
    <phoneticPr fontId="8"/>
  </si>
  <si>
    <t>府立和泉総合高等学校（定）</t>
  </si>
  <si>
    <t>ｲｽﾞﾐｿｳｺﾞｳ</t>
  </si>
  <si>
    <t>大阪府和泉市富秋町1-14-4</t>
  </si>
  <si>
    <t>大阪わかば</t>
  </si>
  <si>
    <t>府立大阪わかば高等学校</t>
    <rPh sb="0" eb="2">
      <t>フリツ</t>
    </rPh>
    <rPh sb="2" eb="4">
      <t>オオサカ</t>
    </rPh>
    <rPh sb="7" eb="11">
      <t>コウ</t>
    </rPh>
    <phoneticPr fontId="9"/>
  </si>
  <si>
    <t>ｵｵｻｶﾜｶﾊﾞ</t>
  </si>
  <si>
    <t>544-0014</t>
  </si>
  <si>
    <t>大阪府大阪市生野区巽東3-10-75</t>
  </si>
  <si>
    <t>06-6757-9171</t>
  </si>
  <si>
    <t>　</t>
  </si>
  <si>
    <t>桃谷定</t>
  </si>
  <si>
    <t>府立桃谷高等学校Ⅲ部</t>
  </si>
  <si>
    <t>ﾓﾓﾀﾞﾆﾃｲ</t>
  </si>
  <si>
    <t>大阪府大阪市生野区勝山南3-1-4</t>
  </si>
  <si>
    <t>西野田工科</t>
  </si>
  <si>
    <t>府立西野田工科高等学校（定）</t>
  </si>
  <si>
    <t>今宮工科</t>
  </si>
  <si>
    <t>府立今宮工科高等学校（定）</t>
  </si>
  <si>
    <t>557-0024</t>
  </si>
  <si>
    <t>大阪市西成区出城1-1-6</t>
  </si>
  <si>
    <t>藤井寺工科</t>
  </si>
  <si>
    <t>府立藤井寺工科高等学校（定）</t>
  </si>
  <si>
    <t>佐野工科</t>
  </si>
  <si>
    <t>府立佐野工科高等学校（定）</t>
  </si>
  <si>
    <t>598-0012</t>
  </si>
  <si>
    <t>泉佐野市高松東1-3-50</t>
  </si>
  <si>
    <t>072-462-2772</t>
  </si>
  <si>
    <t>茨木工科</t>
  </si>
  <si>
    <t>府立茨木工科高等学校（定）</t>
  </si>
  <si>
    <t>ｲﾊﾞﾗｷﾞｺｳｶ</t>
  </si>
  <si>
    <t>茨木市春日5-6-41</t>
  </si>
  <si>
    <t>堺工科</t>
  </si>
  <si>
    <t>府立堺工科高等学校（定）</t>
  </si>
  <si>
    <t>590-0801</t>
  </si>
  <si>
    <t>堺市堺区大仙中町12-1</t>
  </si>
  <si>
    <t>072-241-1401</t>
  </si>
  <si>
    <t>府立桃谷高等学校（通）</t>
  </si>
  <si>
    <t>ﾓﾓﾀﾞﾆﾂｳｼﾝ</t>
  </si>
  <si>
    <t>府立中央高等学校</t>
  </si>
  <si>
    <t>大阪府大阪市中央区釣鐘町1-1-5</t>
  </si>
  <si>
    <t>ﾐﾔｺｼﾞﾏｺｳｷﾞｮｳ</t>
  </si>
  <si>
    <t>大阪府大阪市都島区善源寺町1-5-64</t>
  </si>
  <si>
    <t>ｺｳｹﾞｲ</t>
  </si>
  <si>
    <t>大阪府大阪市阿倍野区文の里1-7-2</t>
  </si>
  <si>
    <t>堺市立堺高等学校（定）</t>
  </si>
  <si>
    <t>堺市堺区向陵東町1-10-1</t>
  </si>
  <si>
    <t>岸和田産業</t>
  </si>
  <si>
    <t>岸和田市立産業高等学校（定）</t>
  </si>
  <si>
    <t>072-643-6681</t>
  </si>
  <si>
    <t>ＹＭＣＡ学院</t>
    <rPh sb="4" eb="6">
      <t>ガクイン</t>
    </rPh>
    <phoneticPr fontId="1"/>
  </si>
  <si>
    <t>ﾜｲｴﾑｼｰｴｰ</t>
  </si>
  <si>
    <t>543-0073</t>
  </si>
  <si>
    <t>大阪府大阪市天王寺区生玉寺町1-3</t>
  </si>
  <si>
    <t>06-6779-5690</t>
  </si>
  <si>
    <t>八洲学園大阪</t>
    <rPh sb="0" eb="1">
      <t>ハチ</t>
    </rPh>
    <rPh sb="1" eb="2">
      <t>ス</t>
    </rPh>
    <rPh sb="2" eb="4">
      <t>ガクエン</t>
    </rPh>
    <phoneticPr fontId="8"/>
  </si>
  <si>
    <t>ﾔｼﾏｶﾞｸｴﾝｵｵｻｶ</t>
  </si>
  <si>
    <t>堺市西区鳳中町8-3-25</t>
  </si>
  <si>
    <t>秋桜</t>
  </si>
  <si>
    <t>秋桜高等学校</t>
  </si>
  <si>
    <t>ｼｭｳｵｳ</t>
  </si>
  <si>
    <t>597-0002</t>
  </si>
  <si>
    <t>貝塚市新町2-10</t>
  </si>
  <si>
    <t>072-432-6007</t>
  </si>
  <si>
    <t>天王寺学館高等学校</t>
  </si>
  <si>
    <t>大阪市平野区平野北1-10-43</t>
  </si>
  <si>
    <t>神須学園</t>
  </si>
  <si>
    <t>神須学園高等学校</t>
  </si>
  <si>
    <t>ｺｳｽﾞｶﾞｸｴﾝ</t>
  </si>
  <si>
    <t>596-0076</t>
  </si>
  <si>
    <t>大阪府岸和田市野田町1-7-12</t>
  </si>
  <si>
    <t>072-493-3977</t>
  </si>
  <si>
    <t>ルネサンス大阪</t>
  </si>
  <si>
    <t>ルネサンス大阪高等学校</t>
  </si>
  <si>
    <t>ﾙﾈｻﾝｽｵｵｻｶ</t>
  </si>
  <si>
    <t>530-0012</t>
  </si>
  <si>
    <t>大阪府大阪市北区芝田2-9-20</t>
  </si>
  <si>
    <t>06-6373-5900</t>
  </si>
  <si>
    <t>飛鳥未来大阪</t>
  </si>
  <si>
    <t>飛鳥未来高等学校　大阪キャンパス</t>
  </si>
  <si>
    <t>ｱｽｶﾐﾗｲｵｵｻｶ</t>
  </si>
  <si>
    <t>大阪府大阪市淀川区西中島3-6-2</t>
  </si>
  <si>
    <t>東朋学園</t>
  </si>
  <si>
    <t>東朋学園高等学校</t>
    <rPh sb="0" eb="2">
      <t>トウホウ</t>
    </rPh>
    <rPh sb="2" eb="4">
      <t>ガクエン</t>
    </rPh>
    <rPh sb="4" eb="8">
      <t>コウ</t>
    </rPh>
    <phoneticPr fontId="9"/>
  </si>
  <si>
    <t>ﾄｳﾎｳｶﾞｸｴﾝ</t>
  </si>
  <si>
    <t>大阪府大阪市天王寺区城南寺町7-19</t>
  </si>
  <si>
    <t>英風</t>
  </si>
  <si>
    <t>英風高等学校</t>
    <rPh sb="0" eb="1">
      <t>エイ</t>
    </rPh>
    <rPh sb="1" eb="2">
      <t>フウ</t>
    </rPh>
    <rPh sb="2" eb="4">
      <t>コウトウ</t>
    </rPh>
    <rPh sb="4" eb="6">
      <t>ガッコウ</t>
    </rPh>
    <phoneticPr fontId="8"/>
  </si>
  <si>
    <t>ｴｲﾌｳ</t>
  </si>
  <si>
    <t>553-0006</t>
  </si>
  <si>
    <t>大阪市福島区吉野4-13-4</t>
  </si>
  <si>
    <t>06-6464-0668</t>
  </si>
  <si>
    <t>日教高関西情報</t>
    <rPh sb="0" eb="1">
      <t>ニチ</t>
    </rPh>
    <rPh sb="1" eb="2">
      <t>キョウ</t>
    </rPh>
    <rPh sb="2" eb="3">
      <t>コウ</t>
    </rPh>
    <rPh sb="3" eb="5">
      <t>カンサイ</t>
    </rPh>
    <rPh sb="5" eb="7">
      <t>ジョウホウ</t>
    </rPh>
    <phoneticPr fontId="8"/>
  </si>
  <si>
    <t>日教高関西情報工学院専門学校</t>
  </si>
  <si>
    <t>大阪府大阪市平野区喜連西4-7-15</t>
  </si>
  <si>
    <t>神須大阪技能</t>
    <rPh sb="4" eb="6">
      <t>ギノウ</t>
    </rPh>
    <phoneticPr fontId="8"/>
  </si>
  <si>
    <t>神須学園大阪技能専門学校</t>
  </si>
  <si>
    <t>ｺｳｽﾞｵｵｻｶｷﾞﾉｳ</t>
  </si>
  <si>
    <t>596-0833</t>
  </si>
  <si>
    <t>大阪府岸和田市神須屋町413</t>
  </si>
  <si>
    <t>072-427-7600</t>
  </si>
  <si>
    <t>星槎国際大阪</t>
  </si>
  <si>
    <t>星槎国際高等学校　大阪学習センター</t>
    <phoneticPr fontId="7"/>
  </si>
  <si>
    <t>ｾｲｻｺｸｻｲｵｵｻｶ</t>
  </si>
  <si>
    <t>530-0043</t>
  </si>
  <si>
    <t>大阪府大阪市北区天満4-13-11</t>
  </si>
  <si>
    <t>06-6147-3830</t>
  </si>
  <si>
    <t>クラーク記念国際高等学校　大阪天王寺キャンパス</t>
  </si>
  <si>
    <t>ｸﾗｰｸｵｵｻｶ</t>
  </si>
  <si>
    <t>向陽台中央学園</t>
  </si>
  <si>
    <t>向陽台高校中央学園高等専修学校</t>
  </si>
  <si>
    <t>ｺｳﾖｳﾀﾞｲﾁｭｳｵｳｶﾞｸｴﾝ</t>
    <phoneticPr fontId="7"/>
  </si>
  <si>
    <t>546-0044</t>
  </si>
  <si>
    <t>大阪府大阪市東住吉区北田辺1-11-1</t>
  </si>
  <si>
    <t>長尾谷東洋学園</t>
    <rPh sb="0" eb="3">
      <t>ナガオダニ</t>
    </rPh>
    <rPh sb="3" eb="5">
      <t>トウヨウ</t>
    </rPh>
    <rPh sb="5" eb="7">
      <t>ガクエン</t>
    </rPh>
    <phoneticPr fontId="8"/>
  </si>
  <si>
    <t>長尾谷高校東洋学園高等専修学校</t>
  </si>
  <si>
    <t>ﾅｶﾞｵﾀﾞﾆﾄｳﾖｳ</t>
    <phoneticPr fontId="7"/>
  </si>
  <si>
    <t>535-0013</t>
  </si>
  <si>
    <t>大阪府大阪市旭区森小路2-8-25</t>
  </si>
  <si>
    <t>06-6954-9751</t>
  </si>
  <si>
    <t>長尾谷近畿情報</t>
  </si>
  <si>
    <t>長尾谷高校近畿情報高等専修学校</t>
  </si>
  <si>
    <t>ﾅｶﾞｵﾀﾞﾆｷﾝｷ</t>
    <phoneticPr fontId="7"/>
  </si>
  <si>
    <t>大阪府枚方市渚西1-43-1</t>
  </si>
  <si>
    <t>神村学園大阪</t>
  </si>
  <si>
    <t>神村学園高等部　大阪梅田学習センター</t>
    <rPh sb="0" eb="2">
      <t>カミムラ</t>
    </rPh>
    <rPh sb="2" eb="4">
      <t>ガクエン</t>
    </rPh>
    <rPh sb="4" eb="7">
      <t>コウトウブ</t>
    </rPh>
    <rPh sb="8" eb="10">
      <t>オオサカ</t>
    </rPh>
    <rPh sb="10" eb="12">
      <t>ウメダ</t>
    </rPh>
    <rPh sb="12" eb="14">
      <t>ガクシュウ</t>
    </rPh>
    <phoneticPr fontId="8"/>
  </si>
  <si>
    <t>ｶﾐﾑﾗｶﾞｸｴﾝｵｵｻｶ</t>
  </si>
  <si>
    <t>530-0001</t>
  </si>
  <si>
    <t>大阪市北区梅田１丁目3-1000 1-10F-5-1</t>
  </si>
  <si>
    <t>06-6147-2200</t>
  </si>
  <si>
    <t>都島二工</t>
    <rPh sb="2" eb="3">
      <t>2</t>
    </rPh>
    <rPh sb="3" eb="4">
      <t>タクミ</t>
    </rPh>
    <phoneticPr fontId="1"/>
  </si>
  <si>
    <t>中央</t>
    <rPh sb="0" eb="2">
      <t>チュウオウ</t>
    </rPh>
    <phoneticPr fontId="1"/>
  </si>
  <si>
    <t>第二工芸</t>
    <rPh sb="0" eb="2">
      <t>ダイニ</t>
    </rPh>
    <phoneticPr fontId="1"/>
  </si>
  <si>
    <t>府立都島第二工業・都島工業高等学校（定）</t>
    <rPh sb="4" eb="6">
      <t>ダイニ</t>
    </rPh>
    <phoneticPr fontId="7"/>
  </si>
  <si>
    <t>府立第二工芸・工芸高等学校（定）</t>
    <phoneticPr fontId="7"/>
  </si>
  <si>
    <t>No.</t>
  </si>
  <si>
    <t>学校名</t>
    <rPh sb="0" eb="2">
      <t>ガッコウ</t>
    </rPh>
    <rPh sb="1" eb="3">
      <t>コウメイ</t>
    </rPh>
    <phoneticPr fontId="1"/>
  </si>
  <si>
    <t>ｶﾅ</t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</si>
  <si>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</si>
  <si>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</si>
  <si>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TEL</t>
  </si>
  <si>
    <t>FAX</t>
  </si>
  <si>
    <t>桁</t>
    <rPh sb="0" eb="1">
      <t>ケタ</t>
    </rPh>
    <phoneticPr fontId="7"/>
  </si>
  <si>
    <t>単位①</t>
    <rPh sb="0" eb="2">
      <t>タンイ</t>
    </rPh>
    <phoneticPr fontId="7"/>
  </si>
  <si>
    <t>単位②</t>
    <rPh sb="0" eb="2">
      <t>タンイ</t>
    </rPh>
    <phoneticPr fontId="7"/>
  </si>
  <si>
    <t>大阪高等学校定時制通信制陸上競技大会</t>
    <phoneticPr fontId="7"/>
  </si>
  <si>
    <t>大阪高等学校定時制通信制課程総合体育大会陸上競技の部</t>
    <rPh sb="6" eb="9">
      <t>テイジセイ</t>
    </rPh>
    <rPh sb="9" eb="12">
      <t>ツウシンセイ</t>
    </rPh>
    <rPh sb="12" eb="14">
      <t>カテイ</t>
    </rPh>
    <phoneticPr fontId="7"/>
  </si>
  <si>
    <t>　　　　　大阪高体連陸上競技専門部　定通制主任</t>
    <rPh sb="5" eb="7">
      <t>オオサカ</t>
    </rPh>
    <rPh sb="7" eb="10">
      <t>コウタイレン</t>
    </rPh>
    <rPh sb="10" eb="12">
      <t>リクジョウ</t>
    </rPh>
    <rPh sb="12" eb="14">
      <t>キョウギ</t>
    </rPh>
    <rPh sb="14" eb="16">
      <t>センモン</t>
    </rPh>
    <rPh sb="16" eb="17">
      <t>ブ</t>
    </rPh>
    <rPh sb="18" eb="19">
      <t>サダム</t>
    </rPh>
    <rPh sb="19" eb="20">
      <t>ツウ</t>
    </rPh>
    <rPh sb="20" eb="21">
      <t>セイ</t>
    </rPh>
    <rPh sb="21" eb="23">
      <t>シュニン</t>
    </rPh>
    <phoneticPr fontId="1"/>
  </si>
  <si>
    <t>大阪府立藤井寺工科高等学校（定時制）　　山本　晋太郎　　印</t>
    <rPh sb="0" eb="2">
      <t>オオサカ</t>
    </rPh>
    <rPh sb="2" eb="4">
      <t>フリツ</t>
    </rPh>
    <rPh sb="4" eb="7">
      <t>フジイデラ</t>
    </rPh>
    <rPh sb="7" eb="9">
      <t>コウカ</t>
    </rPh>
    <rPh sb="9" eb="11">
      <t>コウトウ</t>
    </rPh>
    <rPh sb="11" eb="13">
      <t>ガッコウ</t>
    </rPh>
    <rPh sb="14" eb="17">
      <t>テイジセイ</t>
    </rPh>
    <rPh sb="20" eb="22">
      <t>ヤマモト</t>
    </rPh>
    <rPh sb="23" eb="26">
      <t>シンタロウ</t>
    </rPh>
    <rPh sb="28" eb="2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</si>
</sst>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mmdd"/>
    <numFmt numFmtId="177" formatCode="000"/>
    <numFmt numFmtId="178" formatCode="00"/>
  </numFmts>
  <fonts count="13"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2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24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49" fontId="0" fillId="0" borderId="0">
      <alignment vertical="center"/>
    </xf>
    <xf numFmtId="49" fontId="3" fillId="0" borderId="0">
      <alignment vertical="center"/>
    </xf>
  </cellStyleXfs>
  <cellXfs count="98">
    <xf numFmtId="49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Continuous" vertical="center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right" vertical="center"/>
    </xf>
    <xf numFmtId="0" fontId="3" fillId="0" borderId="0" xfId="1" applyNumberFormat="1">
      <alignment vertical="center"/>
    </xf>
    <xf numFmtId="0" fontId="3" fillId="0" borderId="7" xfId="1" applyNumberFormat="1" applyBorder="1">
      <alignment vertical="center"/>
    </xf>
    <xf numFmtId="0" fontId="4" fillId="0" borderId="0" xfId="1" applyNumberFormat="1" applyFont="1" applyAlignment="1">
      <alignment horizontal="center" vertical="center"/>
    </xf>
    <xf numFmtId="0" fontId="3" fillId="0" borderId="0" xfId="1" applyNumberFormat="1" applyAlignment="1">
      <alignment horizontal="center" vertical="center"/>
    </xf>
    <xf numFmtId="0" fontId="3" fillId="0" borderId="1" xfId="1" applyNumberFormat="1" applyBorder="1" applyAlignment="1">
      <alignment horizontal="center" vertical="center"/>
    </xf>
    <xf numFmtId="0" fontId="3" fillId="0" borderId="8" xfId="1" applyNumberFormat="1" applyBorder="1" applyAlignment="1">
      <alignment horizontal="center" vertical="center"/>
    </xf>
    <xf numFmtId="0" fontId="3" fillId="0" borderId="2" xfId="1" applyNumberFormat="1" applyBorder="1" applyAlignment="1">
      <alignment horizontal="center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1" applyNumberFormat="1" applyFont="1" applyAlignment="1">
      <alignment horizontal="left" vertical="center"/>
    </xf>
    <xf numFmtId="0" fontId="0" fillId="0" borderId="9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left" vertical="center"/>
    </xf>
    <xf numFmtId="0" fontId="3" fillId="0" borderId="3" xfId="1" applyNumberFormat="1" applyBorder="1" applyAlignment="1">
      <alignment horizontal="center" vertical="center"/>
    </xf>
    <xf numFmtId="0" fontId="3" fillId="0" borderId="0" xfId="1" applyNumberFormat="1" applyAlignment="1">
      <alignment horizontal="right" vertical="center"/>
    </xf>
    <xf numFmtId="0" fontId="3" fillId="0" borderId="11" xfId="1" applyNumberFormat="1" applyBorder="1" applyAlignment="1">
      <alignment horizontal="center" vertical="center"/>
    </xf>
    <xf numFmtId="0" fontId="0" fillId="0" borderId="8" xfId="0" applyNumberFormat="1" applyBorder="1">
      <alignment vertical="center"/>
    </xf>
    <xf numFmtId="0" fontId="0" fillId="0" borderId="3" xfId="0" applyNumberFormat="1" applyBorder="1" applyAlignment="1">
      <alignment horizontal="center" vertical="center" shrinkToFit="1"/>
    </xf>
    <xf numFmtId="178" fontId="0" fillId="2" borderId="12" xfId="0" applyNumberForma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178" fontId="0" fillId="2" borderId="13" xfId="0" applyNumberFormat="1" applyFill="1" applyBorder="1" applyAlignment="1">
      <alignment horizontal="center" vertical="center"/>
    </xf>
    <xf numFmtId="177" fontId="0" fillId="2" borderId="13" xfId="0" applyNumberFormat="1" applyFill="1" applyBorder="1" applyAlignment="1">
      <alignment horizontal="center" vertical="center"/>
    </xf>
    <xf numFmtId="178" fontId="0" fillId="2" borderId="14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4" borderId="0" xfId="0" applyNumberFormat="1" applyFill="1">
      <alignment vertical="center"/>
    </xf>
    <xf numFmtId="49" fontId="0" fillId="4" borderId="0" xfId="0" applyFill="1">
      <alignment vertical="center"/>
    </xf>
    <xf numFmtId="0" fontId="3" fillId="0" borderId="0" xfId="1" applyNumberFormat="1" applyAlignment="1">
      <alignment horizontal="left" vertical="center"/>
    </xf>
    <xf numFmtId="0" fontId="0" fillId="4" borderId="0" xfId="0" applyNumberFormat="1" applyFill="1" applyAlignment="1">
      <alignment horizontal="center" vertical="center"/>
    </xf>
    <xf numFmtId="177" fontId="0" fillId="4" borderId="0" xfId="0" applyNumberFormat="1" applyFill="1" applyAlignment="1">
      <alignment horizontal="center" vertical="center"/>
    </xf>
    <xf numFmtId="177" fontId="0" fillId="4" borderId="0" xfId="0" applyNumberFormat="1" applyFill="1">
      <alignment vertical="center"/>
    </xf>
    <xf numFmtId="0" fontId="0" fillId="6" borderId="0" xfId="0" applyNumberFormat="1" applyFill="1">
      <alignment vertical="center"/>
    </xf>
    <xf numFmtId="49" fontId="0" fillId="6" borderId="0" xfId="0" applyFill="1">
      <alignment vertical="center"/>
    </xf>
    <xf numFmtId="0" fontId="0" fillId="7" borderId="0" xfId="0" applyNumberFormat="1" applyFill="1">
      <alignment vertical="center"/>
    </xf>
    <xf numFmtId="0" fontId="0" fillId="0" borderId="16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6" xfId="0" quotePrefix="1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shrinkToFit="1"/>
    </xf>
    <xf numFmtId="0" fontId="0" fillId="0" borderId="8" xfId="0" applyNumberFormat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0" fontId="2" fillId="0" borderId="8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5" borderId="8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shrinkToFit="1"/>
    </xf>
    <xf numFmtId="0" fontId="0" fillId="0" borderId="8" xfId="0" applyNumberFormat="1" applyBorder="1" applyAlignment="1">
      <alignment horizontal="center" vertical="center" shrinkToFit="1"/>
    </xf>
    <xf numFmtId="0" fontId="0" fillId="0" borderId="15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9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2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1" xfId="0" applyNumberFormat="1" applyBorder="1" applyAlignment="1">
      <alignment horizontal="left" vertical="center" shrinkToFit="1"/>
    </xf>
    <xf numFmtId="0" fontId="0" fillId="0" borderId="8" xfId="0" applyNumberFormat="1" applyBorder="1" applyAlignment="1">
      <alignment horizontal="left" vertical="center" shrinkToFit="1"/>
    </xf>
    <xf numFmtId="0" fontId="0" fillId="5" borderId="2" xfId="0" applyNumberFormat="1" applyFill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 wrapText="1"/>
    </xf>
    <xf numFmtId="0" fontId="0" fillId="5" borderId="6" xfId="0" applyNumberFormat="1" applyFill="1" applyBorder="1" applyAlignment="1">
      <alignment horizontal="center" vertical="center" wrapText="1"/>
    </xf>
    <xf numFmtId="0" fontId="3" fillId="0" borderId="0" xfId="1" applyNumberFormat="1" applyAlignment="1">
      <alignment horizontal="right" vertical="center" wrapText="1"/>
    </xf>
    <xf numFmtId="0" fontId="3" fillId="0" borderId="0" xfId="1" applyNumberFormat="1" applyAlignment="1">
      <alignment horizontal="center" vertical="center"/>
    </xf>
    <xf numFmtId="0" fontId="3" fillId="0" borderId="3" xfId="1" applyNumberFormat="1" applyBorder="1" applyAlignment="1">
      <alignment horizontal="center" vertical="center"/>
    </xf>
    <xf numFmtId="0" fontId="3" fillId="0" borderId="1" xfId="1" applyNumberFormat="1" applyBorder="1" applyAlignment="1">
      <alignment horizontal="center" vertical="center"/>
    </xf>
    <xf numFmtId="0" fontId="3" fillId="0" borderId="8" xfId="1" applyNumberFormat="1" applyBorder="1" applyAlignment="1">
      <alignment horizontal="center" vertical="center"/>
    </xf>
    <xf numFmtId="0" fontId="3" fillId="0" borderId="15" xfId="1" applyNumberFormat="1" applyBorder="1" applyAlignment="1">
      <alignment horizontal="center" vertical="center"/>
    </xf>
    <xf numFmtId="0" fontId="3" fillId="0" borderId="17" xfId="1" applyNumberFormat="1" applyBorder="1" applyAlignment="1">
      <alignment horizontal="center" vertical="center"/>
    </xf>
    <xf numFmtId="0" fontId="3" fillId="3" borderId="3" xfId="1" applyNumberFormat="1" applyFill="1" applyBorder="1" applyAlignment="1">
      <alignment horizontal="center" vertical="center"/>
    </xf>
    <xf numFmtId="0" fontId="3" fillId="3" borderId="0" xfId="1" applyNumberFormat="1" applyFill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3" fillId="0" borderId="4" xfId="1" applyNumberFormat="1" applyBorder="1" applyAlignment="1">
      <alignment horizontal="center" vertical="center"/>
    </xf>
    <xf numFmtId="0" fontId="3" fillId="0" borderId="9" xfId="1" applyNumberFormat="1" applyBorder="1" applyAlignment="1">
      <alignment horizontal="center" vertical="center"/>
    </xf>
    <xf numFmtId="0" fontId="3" fillId="0" borderId="6" xfId="1" applyNumberFormat="1" applyBorder="1" applyAlignment="1">
      <alignment horizontal="center" vertical="center"/>
    </xf>
    <xf numFmtId="0" fontId="3" fillId="0" borderId="2" xfId="1" applyNumberForma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</cellXfs>
  <cellStyles count="2">
    <cellStyle name="標準" xfId="0" builtinId="0"/>
    <cellStyle name="標準_2010_近畿予選調査票" xfId="1" xr:uid="{00000000-0005-0000-0000-000001000000}"/>
  </cellStyles>
  <dxfs count="27">
    <dxf>
      <fill>
        <patternFill>
          <bgColor indexed="10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  <border>
        <left style="thin">
          <color indexed="27"/>
        </left>
      </border>
    </dxf>
    <dxf>
      <fill>
        <patternFill>
          <bgColor indexed="9"/>
        </patternFill>
      </fill>
      <border>
        <left style="thin">
          <color indexed="27"/>
        </left>
        <right style="thin">
          <color indexed="27"/>
        </right>
      </border>
    </dxf>
    <dxf>
      <fill>
        <patternFill>
          <bgColor indexed="27"/>
        </patternFill>
      </fill>
      <border>
        <left style="thin">
          <color indexed="27"/>
        </left>
        <right style="thin">
          <color indexed="27"/>
        </right>
      </border>
    </dxf>
    <dxf>
      <fill>
        <patternFill>
          <bgColor theme="0"/>
        </patternFill>
      </fill>
      <border>
        <left style="thin">
          <color indexed="27"/>
        </left>
        <right style="thin">
          <color indexed="27"/>
        </right>
      </border>
    </dxf>
    <dxf>
      <fill>
        <patternFill>
          <bgColor indexed="27"/>
        </patternFill>
      </fill>
      <border>
        <right style="thin">
          <color indexed="27"/>
        </right>
      </border>
    </dxf>
    <dxf>
      <fill>
        <patternFill>
          <bgColor theme="0" tint="-0.2499465926084170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  <border>
        <left style="thin">
          <color indexed="27"/>
        </left>
        <right style="thin">
          <color indexed="64"/>
        </right>
        <bottom style="thin">
          <color indexed="64"/>
        </bottom>
      </border>
    </dxf>
    <dxf>
      <fill>
        <patternFill>
          <bgColor indexed="27"/>
        </patternFill>
      </fill>
      <border>
        <left style="thin">
          <color indexed="27"/>
        </left>
      </border>
    </dxf>
    <dxf>
      <fill>
        <patternFill>
          <bgColor theme="0"/>
        </patternFill>
      </fill>
      <border>
        <left style="thin">
          <color indexed="27"/>
        </left>
        <right style="thin">
          <color indexed="27"/>
        </right>
      </border>
    </dxf>
    <dxf>
      <fill>
        <patternFill>
          <bgColor indexed="27"/>
        </patternFill>
      </fill>
      <border>
        <left style="thin">
          <color indexed="27"/>
        </left>
        <right style="thin">
          <color indexed="27"/>
        </right>
        <bottom style="thin">
          <color indexed="64"/>
        </bottom>
      </border>
    </dxf>
    <dxf>
      <fill>
        <patternFill>
          <bgColor indexed="27"/>
        </patternFill>
      </fill>
      <border>
        <left style="thin">
          <color indexed="27"/>
        </left>
        <right style="thin">
          <color indexed="27"/>
        </right>
      </border>
    </dxf>
    <dxf>
      <fill>
        <patternFill>
          <bgColor indexed="9"/>
        </patternFill>
      </fill>
      <border>
        <left style="thin">
          <color indexed="27"/>
        </left>
        <right style="thin">
          <color indexed="27"/>
        </right>
        <bottom style="thin">
          <color indexed="64"/>
        </bottom>
      </border>
    </dxf>
    <dxf>
      <fill>
        <patternFill>
          <bgColor theme="0"/>
        </patternFill>
      </fill>
      <border>
        <left style="thin">
          <color indexed="27"/>
        </left>
        <right style="thin">
          <color indexed="27"/>
        </right>
      </border>
    </dxf>
    <dxf>
      <fill>
        <patternFill>
          <bgColor indexed="27"/>
        </patternFill>
      </fill>
      <border>
        <left style="thin">
          <color indexed="64"/>
        </left>
        <right style="thin">
          <color indexed="27"/>
        </right>
        <bottom style="thin">
          <color indexed="64"/>
        </bottom>
      </border>
    </dxf>
    <dxf>
      <fill>
        <patternFill>
          <bgColor theme="0" tint="-0.24994659260841701"/>
        </patternFill>
      </fill>
    </dxf>
    <dxf>
      <fill>
        <patternFill>
          <bgColor indexed="27"/>
        </patternFill>
      </fill>
      <border>
        <right style="thin">
          <color indexed="27"/>
        </right>
      </border>
    </dxf>
    <dxf>
      <fill>
        <patternFill>
          <bgColor indexed="27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indexed="27"/>
        </patternFill>
      </fill>
    </dxf>
    <dxf>
      <fill>
        <patternFill>
          <bgColor indexed="2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08"/>
  <sheetViews>
    <sheetView tabSelected="1" zoomScaleNormal="100" workbookViewId="0">
      <selection sqref="A1:I1"/>
    </sheetView>
  </sheetViews>
  <sheetFormatPr defaultColWidth="9.75" defaultRowHeight="14.25"/>
  <cols>
    <col min="1" max="1" width="3.25" style="1" customWidth="1"/>
    <col min="2" max="2" width="6.5" style="1" customWidth="1"/>
    <col min="3" max="6" width="7.75" style="1" customWidth="1"/>
    <col min="7" max="8" width="4" style="1" customWidth="1"/>
    <col min="9" max="9" width="7.75" style="1" customWidth="1"/>
    <col min="10" max="10" width="11.75" style="1" customWidth="1"/>
    <col min="11" max="11" width="7.75" style="1" customWidth="1"/>
    <col min="12" max="16" width="3" style="1" customWidth="1"/>
    <col min="17" max="17" width="7.75" style="1" customWidth="1"/>
    <col min="18" max="22" width="3" style="1" customWidth="1"/>
    <col min="23" max="24" width="5.125" style="1" customWidth="1"/>
    <col min="25" max="26" width="30.625" style="46" customWidth="1"/>
    <col min="27" max="76" width="6.875" style="38" customWidth="1"/>
    <col min="77" max="77" width="6.875" style="46" customWidth="1"/>
    <col min="78" max="78" width="9.75" style="46"/>
    <col min="79" max="89" width="10.625" style="44" customWidth="1"/>
    <col min="90" max="90" width="10.5" style="44" bestFit="1" customWidth="1"/>
    <col min="91" max="16384" width="9.75" style="1"/>
  </cols>
  <sheetData>
    <row r="1" spans="1:89" ht="19.899999999999999" customHeight="1">
      <c r="A1" s="72"/>
      <c r="B1" s="72"/>
      <c r="C1" s="72"/>
      <c r="D1" s="72"/>
      <c r="E1" s="72"/>
      <c r="F1" s="72"/>
      <c r="G1" s="72"/>
      <c r="H1" s="72"/>
      <c r="I1" s="72"/>
      <c r="J1" s="20" t="s">
        <v>148</v>
      </c>
      <c r="K1" s="21"/>
      <c r="L1" s="55" t="s">
        <v>112</v>
      </c>
      <c r="M1" s="57"/>
      <c r="N1" s="57"/>
      <c r="O1" s="56"/>
      <c r="P1" s="66"/>
      <c r="Q1" s="78"/>
      <c r="R1" s="55" t="s">
        <v>113</v>
      </c>
      <c r="S1" s="57"/>
      <c r="T1" s="57"/>
      <c r="U1" s="56"/>
      <c r="V1" s="55" t="str">
        <f>IF(P1="","",VLOOKUP($P$1,AO:AV,2,FALSE))</f>
        <v/>
      </c>
      <c r="W1" s="57"/>
      <c r="X1" s="56"/>
      <c r="AA1" s="38">
        <f>IF(A1="",0,VLOOKUP(A1,$AM$10:$AN$11,2,FALSE))</f>
        <v>0</v>
      </c>
    </row>
    <row r="2" spans="1:89" ht="19.899999999999999" customHeight="1">
      <c r="A2" s="2" t="s">
        <v>149</v>
      </c>
      <c r="B2" s="3"/>
      <c r="C2" s="61" t="str">
        <f>IF(P1="","",VLOOKUP($P$1,AO:AV,3,FALSE))</f>
        <v/>
      </c>
      <c r="D2" s="62"/>
      <c r="E2" s="62"/>
      <c r="F2" s="62"/>
      <c r="G2" s="62"/>
      <c r="H2" s="62"/>
      <c r="I2" s="63"/>
      <c r="J2" s="4" t="s">
        <v>150</v>
      </c>
      <c r="K2" s="68"/>
      <c r="L2" s="69"/>
      <c r="M2" s="69"/>
      <c r="N2" s="69"/>
      <c r="O2" s="64" t="s">
        <v>151</v>
      </c>
      <c r="P2" s="65"/>
      <c r="Q2" s="5" t="s">
        <v>152</v>
      </c>
      <c r="R2" s="55" t="s">
        <v>153</v>
      </c>
      <c r="S2" s="56"/>
      <c r="T2" s="66"/>
      <c r="U2" s="67"/>
      <c r="V2" s="67"/>
      <c r="W2" s="67"/>
      <c r="X2" s="6" t="s">
        <v>154</v>
      </c>
    </row>
    <row r="3" spans="1:89" ht="19.899999999999999" customHeight="1">
      <c r="A3" s="2" t="s">
        <v>155</v>
      </c>
      <c r="B3" s="3"/>
      <c r="C3" s="73" t="str">
        <f>IF(P1="","",CONCATENATE("〒",VLOOKUP($P$1,AO:AV,5,FALSE)))</f>
        <v/>
      </c>
      <c r="D3" s="74"/>
      <c r="E3" s="73" t="str">
        <f>IF(P1="","",VLOOKUP($P$1,AO:AV,6,FALSE))</f>
        <v/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4"/>
      <c r="Q3" s="7" t="s">
        <v>156</v>
      </c>
      <c r="R3" s="55" t="s">
        <v>157</v>
      </c>
      <c r="S3" s="56"/>
      <c r="T3" s="55"/>
      <c r="U3" s="57"/>
      <c r="V3" s="57"/>
      <c r="W3" s="57"/>
      <c r="X3" s="6" t="str">
        <f>IF(T3="","","印")</f>
        <v/>
      </c>
    </row>
    <row r="4" spans="1:89" ht="19.899999999999999" customHeight="1">
      <c r="A4" s="2" t="s">
        <v>158</v>
      </c>
      <c r="B4" s="3"/>
      <c r="C4" s="76" t="s">
        <v>159</v>
      </c>
      <c r="D4" s="77"/>
      <c r="E4" s="57" t="str">
        <f>IF(T2=0,"",T2)</f>
        <v/>
      </c>
      <c r="F4" s="56"/>
      <c r="G4" s="55" t="s">
        <v>160</v>
      </c>
      <c r="H4" s="56"/>
      <c r="I4" s="55" t="str">
        <f>IF(P1="","",VLOOKUP($P$1,AO:AV,7,FALSE))</f>
        <v/>
      </c>
      <c r="J4" s="56"/>
      <c r="K4" s="4" t="s">
        <v>161</v>
      </c>
      <c r="L4" s="55" t="str">
        <f>IF(P1="","",VLOOKUP($P$1,AO:AV,8,FALSE))</f>
        <v/>
      </c>
      <c r="M4" s="57"/>
      <c r="N4" s="57"/>
      <c r="O4" s="57"/>
      <c r="P4" s="56"/>
      <c r="Q4" s="8" t="s">
        <v>109</v>
      </c>
      <c r="R4" s="55" t="s">
        <v>162</v>
      </c>
      <c r="S4" s="56"/>
      <c r="T4" s="55"/>
      <c r="U4" s="57"/>
      <c r="V4" s="57"/>
      <c r="W4" s="57"/>
      <c r="X4" s="6" t="str">
        <f>IF(T4="","","印")</f>
        <v/>
      </c>
    </row>
    <row r="5" spans="1:89" ht="14.4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89" ht="15.75" customHeight="1">
      <c r="A6" s="53" t="s">
        <v>2</v>
      </c>
      <c r="B6" s="79" t="s">
        <v>163</v>
      </c>
      <c r="C6" s="58" t="s">
        <v>107</v>
      </c>
      <c r="D6" s="59"/>
      <c r="E6" s="58" t="s">
        <v>164</v>
      </c>
      <c r="F6" s="59"/>
      <c r="G6" s="53" t="s">
        <v>3</v>
      </c>
      <c r="H6" s="53" t="s">
        <v>4</v>
      </c>
      <c r="I6" s="53" t="s">
        <v>5</v>
      </c>
      <c r="J6" s="53" t="s">
        <v>165</v>
      </c>
      <c r="K6" s="53" t="s">
        <v>166</v>
      </c>
      <c r="L6" s="47" t="s">
        <v>167</v>
      </c>
      <c r="M6" s="48"/>
      <c r="N6" s="48"/>
      <c r="O6" s="48"/>
      <c r="P6" s="49"/>
      <c r="Q6" s="53" t="s">
        <v>168</v>
      </c>
      <c r="R6" s="47" t="s">
        <v>167</v>
      </c>
      <c r="S6" s="48"/>
      <c r="T6" s="48"/>
      <c r="U6" s="48"/>
      <c r="V6" s="49"/>
      <c r="W6" s="53" t="s">
        <v>169</v>
      </c>
      <c r="X6" s="53" t="s">
        <v>170</v>
      </c>
      <c r="BK6" s="38">
        <f>SUM(BK8:BK27)</f>
        <v>0</v>
      </c>
      <c r="BL6" s="38">
        <f>SUM(BL8:BL27)</f>
        <v>0</v>
      </c>
      <c r="BM6" s="38">
        <f>SUM(BM8:BM27)</f>
        <v>0</v>
      </c>
      <c r="CA6" s="44" t="s">
        <v>194</v>
      </c>
    </row>
    <row r="7" spans="1:89" ht="15.75" customHeight="1">
      <c r="A7" s="54"/>
      <c r="B7" s="80"/>
      <c r="C7" s="9" t="s">
        <v>108</v>
      </c>
      <c r="D7" s="9" t="s">
        <v>109</v>
      </c>
      <c r="E7" s="9" t="s">
        <v>171</v>
      </c>
      <c r="F7" s="9" t="s">
        <v>172</v>
      </c>
      <c r="G7" s="54"/>
      <c r="H7" s="54"/>
      <c r="I7" s="54"/>
      <c r="J7" s="60"/>
      <c r="K7" s="54"/>
      <c r="L7" s="50"/>
      <c r="M7" s="51"/>
      <c r="N7" s="51"/>
      <c r="O7" s="51"/>
      <c r="P7" s="52"/>
      <c r="Q7" s="54"/>
      <c r="R7" s="50"/>
      <c r="S7" s="51"/>
      <c r="T7" s="51"/>
      <c r="U7" s="51"/>
      <c r="V7" s="52"/>
      <c r="W7" s="54"/>
      <c r="X7" s="54"/>
      <c r="AA7" s="38" t="s">
        <v>173</v>
      </c>
      <c r="AB7" s="38" t="s">
        <v>174</v>
      </c>
      <c r="AD7" s="38" t="s">
        <v>175</v>
      </c>
      <c r="BH7" s="38" t="s">
        <v>141</v>
      </c>
      <c r="BI7" s="38" t="s">
        <v>142</v>
      </c>
      <c r="BJ7" s="38" t="s">
        <v>176</v>
      </c>
      <c r="BK7" s="38" t="s">
        <v>177</v>
      </c>
      <c r="BL7" s="38" t="s">
        <v>178</v>
      </c>
      <c r="BM7" s="38" t="s">
        <v>179</v>
      </c>
      <c r="BQ7" s="38" t="s">
        <v>208</v>
      </c>
      <c r="BT7" s="38" t="s">
        <v>209</v>
      </c>
      <c r="BW7" s="38" t="s">
        <v>210</v>
      </c>
      <c r="CA7" s="45" t="s">
        <v>195</v>
      </c>
      <c r="CB7" s="45" t="s">
        <v>196</v>
      </c>
      <c r="CC7" s="45" t="s">
        <v>197</v>
      </c>
      <c r="CD7" s="45" t="s">
        <v>198</v>
      </c>
      <c r="CE7" s="45" t="s">
        <v>199</v>
      </c>
      <c r="CF7" s="45" t="s">
        <v>200</v>
      </c>
      <c r="CG7" s="45" t="s">
        <v>201</v>
      </c>
      <c r="CH7" s="45" t="s">
        <v>202</v>
      </c>
      <c r="CI7" s="45" t="s">
        <v>203</v>
      </c>
      <c r="CJ7" s="45" t="s">
        <v>204</v>
      </c>
      <c r="CK7" s="45" t="s">
        <v>205</v>
      </c>
    </row>
    <row r="8" spans="1:89" ht="18" customHeight="1">
      <c r="A8" s="10">
        <v>1</v>
      </c>
      <c r="B8" s="4"/>
      <c r="C8" s="4"/>
      <c r="D8" s="4"/>
      <c r="E8" s="4"/>
      <c r="F8" s="4"/>
      <c r="G8" s="4"/>
      <c r="H8" s="4"/>
      <c r="I8" s="35"/>
      <c r="J8" s="26" t="str">
        <f t="shared" ref="J8:J27" si="0">IF(AA8=0,"",$V$1)</f>
        <v/>
      </c>
      <c r="K8" s="4"/>
      <c r="L8" s="27"/>
      <c r="M8" s="28" t="str">
        <f t="shared" ref="M8:M27" si="1">IF(AC8=0,"",VLOOKUP(AC8,$BD$10:$BF$11,2,FALSE))</f>
        <v/>
      </c>
      <c r="N8" s="29"/>
      <c r="O8" s="30" t="str">
        <f t="shared" ref="O8:O27" si="2">IF(AC8=0,"",VLOOKUP(AC8,$BD$10:$BF$11,3,FALSE))</f>
        <v/>
      </c>
      <c r="P8" s="31"/>
      <c r="Q8" s="4"/>
      <c r="R8" s="27"/>
      <c r="S8" s="28" t="str">
        <f t="shared" ref="S8:S27" si="3">IF(AE8=0,"",VLOOKUP(AE8,$BD$10:$BF$11,2,FALSE))</f>
        <v/>
      </c>
      <c r="T8" s="29"/>
      <c r="U8" s="30" t="str">
        <f t="shared" ref="U8:U27" si="4">IF(AE8=0,"",VLOOKUP(AE8,$BD$10:$BF$11,3,FALSE))</f>
        <v/>
      </c>
      <c r="V8" s="31"/>
      <c r="W8" s="32"/>
      <c r="X8" s="32"/>
      <c r="AA8" s="41">
        <f t="shared" ref="AA8:AA27" si="5">IF(IF(B8="",0,1)+IF(C8="",0,1)&gt;0,1,0)</f>
        <v>0</v>
      </c>
      <c r="AB8" s="42">
        <f t="shared" ref="AB8:AB27" si="6">IF(K8="",0,IF(H8="M",VLOOKUP(K8,$BB$10:$BC$22,2,FALSE),IF(H8="F",VLOOKUP(K8,$BB$23:$BC$32,2,FALSE),0)))</f>
        <v>0</v>
      </c>
      <c r="AC8" s="41">
        <f t="shared" ref="AC8:AC27" si="7">IF(AB8=0,0,IF(AB8&lt;71,1,2))</f>
        <v>0</v>
      </c>
      <c r="AD8" s="42">
        <f t="shared" ref="AD8:AD27" si="8">IF(Q8="",0,IF(H8="M",VLOOKUP(Q8,$BB$10:$BC$22,2,FALSE),IF(H8="F",VLOOKUP(Q8,$BB$23:$BC$32,2,FALSE),0)))</f>
        <v>0</v>
      </c>
      <c r="AE8" s="41">
        <f t="shared" ref="AE8:AE27" si="9">IF(AD8=0,0,IF(AD8&lt;71,1,2))</f>
        <v>0</v>
      </c>
      <c r="AF8" s="41"/>
      <c r="AH8" s="38" t="s">
        <v>4</v>
      </c>
      <c r="AJ8" s="38" t="s">
        <v>11</v>
      </c>
      <c r="AK8" s="38" t="s">
        <v>12</v>
      </c>
      <c r="AL8" s="38" t="s">
        <v>180</v>
      </c>
      <c r="AM8" s="38" t="s">
        <v>14</v>
      </c>
      <c r="AO8" s="38" t="s">
        <v>400</v>
      </c>
      <c r="AP8" s="38" t="s">
        <v>113</v>
      </c>
      <c r="AQ8" s="38" t="s">
        <v>401</v>
      </c>
      <c r="AR8" s="38" t="s">
        <v>402</v>
      </c>
      <c r="AS8" s="38" t="s">
        <v>403</v>
      </c>
      <c r="AT8" s="38" t="s">
        <v>404</v>
      </c>
      <c r="AU8" s="38" t="s">
        <v>405</v>
      </c>
      <c r="AV8" s="38" t="s">
        <v>406</v>
      </c>
      <c r="AW8" s="38" t="s">
        <v>3</v>
      </c>
      <c r="AY8" s="38" t="s">
        <v>120</v>
      </c>
      <c r="AZ8" s="38" t="s">
        <v>181</v>
      </c>
      <c r="BA8" s="38" t="s">
        <v>407</v>
      </c>
      <c r="BH8" s="38">
        <f t="shared" ref="BH8:BH27" si="10">IF(H8="",0,IF(H8="M",100,IF(H8="F",200,"")))+IF(H8="",0,VLOOKUP(K8,$AY$10:$AZ$32,2,FALSE))</f>
        <v>0</v>
      </c>
      <c r="BI8" s="38">
        <f t="shared" ref="BI8:BI27" si="11">IF(H8="",0,IF(H8="M",100,IF(H8="F",200,"")))+IF(H8="",0,VLOOKUP(Q8,$AY$10:$AZ$32,2,FALSE))</f>
        <v>0</v>
      </c>
      <c r="BJ8" s="38" t="str">
        <f>IF(CONCATENATE(K8,Q8,W8,X8)="○○","○",CONCATENATE(K8,Q8,W8,X8))</f>
        <v/>
      </c>
      <c r="BK8" s="38">
        <f t="shared" ref="BK8:BK27" si="12">IF(IF($H8="m",1,0)+IF($W8="○",1,0)=2,1,0)</f>
        <v>0</v>
      </c>
      <c r="BL8" s="38">
        <f t="shared" ref="BL8:BL27" si="13">IF(IF($H8="m",1,0)+IF($X8="○",1,0)=2,1,0)</f>
        <v>0</v>
      </c>
      <c r="BM8" s="38">
        <f t="shared" ref="BM8:BM27" si="14">IF(IF($H8="f",1,0)+IF($W8="○",1,0)=2,1,0)</f>
        <v>0</v>
      </c>
      <c r="BN8" s="38">
        <v>1</v>
      </c>
      <c r="BO8" s="38" t="s">
        <v>207</v>
      </c>
      <c r="BP8" s="38">
        <f>IF(BR8=0,0,20-COUNTIF(BR$8:BR$27,0)-RANK(BR8,BR$8:BR$27,0)+1)</f>
        <v>0</v>
      </c>
      <c r="BQ8" s="38">
        <f>IF(BK8=1,$CA8,0)</f>
        <v>0</v>
      </c>
      <c r="BR8" s="38">
        <f>BQ8-INT(BQ8/100)*100</f>
        <v>0</v>
      </c>
      <c r="BS8" s="38">
        <f>IF(BU8=0,0,20-COUNTIF(BU$8:BU$27,0)-RANK(BU8,BU$8:BU$27,0)+1)</f>
        <v>0</v>
      </c>
      <c r="BT8" s="38">
        <f t="shared" ref="BT8:BT27" si="15">IF(BL8=1,$CA8,0)</f>
        <v>0</v>
      </c>
      <c r="BU8" s="38">
        <f>BT8-INT(BT8/100)*100</f>
        <v>0</v>
      </c>
      <c r="BV8" s="38">
        <f>IF(BX8=0,0,20-COUNTIF(BX$8:BX$27,0)-RANK(BX8,BX$8:BX$27,0)+1)</f>
        <v>0</v>
      </c>
      <c r="BW8" s="38">
        <f t="shared" ref="BW8:BW27" si="16">IF(BM8=1,$CA8,0)</f>
        <v>0</v>
      </c>
      <c r="BX8" s="38">
        <f>BW8-INT(BW8/100)*100</f>
        <v>0</v>
      </c>
      <c r="CA8" s="44" t="str">
        <f>IF(CD8="","",(YEAR(I8)-INT(YEAR(I8)/100)*100)*10000000+MONTH(I8)*100000+DAY(I8)*1000+B8)</f>
        <v/>
      </c>
      <c r="CB8" s="44" t="str">
        <f>IF(CD8="","",IF(LEN(C8)+LEN(D8)&lt;5,C8&amp;LEFT("　　　　　",5-LEN(C8)-LEN(D8))&amp;D8&amp;"("&amp;G8&amp;")",C8&amp;"　"&amp;D8&amp;"("&amp;G8&amp;")"))</f>
        <v/>
      </c>
      <c r="CC8" s="44" t="str">
        <f>CONCATENATE(E8," ",F8)</f>
        <v xml:space="preserve"> </v>
      </c>
      <c r="CD8" s="44" t="str">
        <f>IF(H8="","",IF(H8="M",1,IF(H8="F",2,"ｴﾗｰ")))</f>
        <v/>
      </c>
      <c r="CE8" s="44" t="str">
        <f>IF(J8="","",27)</f>
        <v/>
      </c>
      <c r="CF8" s="44" t="str">
        <f>IF(CD8="","",275000+$P$1)</f>
        <v/>
      </c>
      <c r="CI8" s="44" t="str">
        <f>IF(B8="","",B8)</f>
        <v/>
      </c>
      <c r="CJ8" s="44" t="str">
        <f>IF(K8="","",RIGHT(IF(H8="M",VLOOKUP(K8,$BB$10:$BC$22,2,FALSE),VLOOKUP(K8,$BB$23:$BC$32,2,FALSE))*100+100000,5)&amp;" "&amp;RIGHT(10000000+L8*10000+N8*100+P8,VLOOKUP(K8,$AY$10:$BA$24,3,FALSE)))</f>
        <v/>
      </c>
      <c r="CK8" s="44" t="str">
        <f>IF(Q8="","",RIGHT(IF(H8="M",VLOOKUP(Q8,$BB$10:$BC$22,2,FALSE),VLOOKUP(Q8,$BB$23:$BC$32,2,FALSE))*100+100000,5)&amp;" "&amp;RIGHT(10000000+R8*10000+T8*100+V8,VLOOKUP(Q8,$AY$10:$BA$24,3,FALSE)))</f>
        <v/>
      </c>
    </row>
    <row r="9" spans="1:89" ht="18" customHeight="1">
      <c r="A9" s="10">
        <v>2</v>
      </c>
      <c r="B9" s="4"/>
      <c r="C9" s="4"/>
      <c r="D9" s="4"/>
      <c r="E9" s="4"/>
      <c r="F9" s="4"/>
      <c r="G9" s="4"/>
      <c r="H9" s="4"/>
      <c r="I9" s="35"/>
      <c r="J9" s="26" t="str">
        <f t="shared" si="0"/>
        <v/>
      </c>
      <c r="K9" s="4"/>
      <c r="L9" s="27"/>
      <c r="M9" s="28" t="str">
        <f t="shared" si="1"/>
        <v/>
      </c>
      <c r="N9" s="29"/>
      <c r="O9" s="30" t="str">
        <f t="shared" si="2"/>
        <v/>
      </c>
      <c r="P9" s="31"/>
      <c r="Q9" s="4"/>
      <c r="R9" s="27"/>
      <c r="S9" s="28" t="str">
        <f t="shared" si="3"/>
        <v/>
      </c>
      <c r="T9" s="29"/>
      <c r="U9" s="30" t="str">
        <f t="shared" si="4"/>
        <v/>
      </c>
      <c r="V9" s="31"/>
      <c r="W9" s="32"/>
      <c r="X9" s="32"/>
      <c r="AA9" s="41">
        <f t="shared" si="5"/>
        <v>0</v>
      </c>
      <c r="AB9" s="42">
        <f t="shared" si="6"/>
        <v>0</v>
      </c>
      <c r="AC9" s="41">
        <f t="shared" si="7"/>
        <v>0</v>
      </c>
      <c r="AD9" s="42">
        <f t="shared" si="8"/>
        <v>0</v>
      </c>
      <c r="AE9" s="41">
        <f t="shared" si="9"/>
        <v>0</v>
      </c>
      <c r="AN9" s="38">
        <v>0</v>
      </c>
      <c r="BB9" s="38" t="s">
        <v>120</v>
      </c>
      <c r="BC9" s="38" t="s">
        <v>181</v>
      </c>
      <c r="BD9" s="38" t="s">
        <v>182</v>
      </c>
      <c r="BE9" s="38" t="s">
        <v>408</v>
      </c>
      <c r="BF9" s="38" t="s">
        <v>409</v>
      </c>
      <c r="BH9" s="38">
        <f t="shared" si="10"/>
        <v>0</v>
      </c>
      <c r="BI9" s="38">
        <f t="shared" si="11"/>
        <v>0</v>
      </c>
      <c r="BJ9" s="38" t="str">
        <f t="shared" ref="BJ9:BJ27" si="17">IF(CONCATENATE(K9,Q9,W9,X9)="○○","○",CONCATENATE(K9,Q9,W9,X9))</f>
        <v/>
      </c>
      <c r="BK9" s="38">
        <f t="shared" si="12"/>
        <v>0</v>
      </c>
      <c r="BL9" s="38">
        <f t="shared" si="13"/>
        <v>0</v>
      </c>
      <c r="BM9" s="38">
        <f t="shared" si="14"/>
        <v>0</v>
      </c>
      <c r="BN9" s="38">
        <v>2</v>
      </c>
      <c r="BO9" s="38" t="s">
        <v>206</v>
      </c>
      <c r="BP9" s="38">
        <f t="shared" ref="BP9:BP27" si="18">IF(BR9=0,0,20-COUNTIF(BR$8:BR$27,0)-RANK(BR9,BR$8:BR$27,0)+1)</f>
        <v>0</v>
      </c>
      <c r="BQ9" s="38">
        <f t="shared" ref="BQ9:BQ27" si="19">IF(BK9=1,$CA9,0)</f>
        <v>0</v>
      </c>
      <c r="BR9" s="38">
        <f t="shared" ref="BR9:BR27" si="20">BQ9-INT(BQ9/100)*100</f>
        <v>0</v>
      </c>
      <c r="BS9" s="38">
        <f t="shared" ref="BS9:BS27" si="21">IF(BU9=0,0,20-COUNTIF(BU$8:BU$27,0)-RANK(BU9,BU$8:BU$27,0)+1)</f>
        <v>0</v>
      </c>
      <c r="BT9" s="38">
        <f t="shared" si="15"/>
        <v>0</v>
      </c>
      <c r="BU9" s="38">
        <f t="shared" ref="BU9:BU27" si="22">BT9-INT(BT9/100)*100</f>
        <v>0</v>
      </c>
      <c r="BV9" s="38">
        <f t="shared" ref="BV9:BV27" si="23">IF(BX9=0,0,20-COUNTIF(BX$8:BX$27,0)-RANK(BX9,BX$8:BX$27,0)+1)</f>
        <v>0</v>
      </c>
      <c r="BW9" s="38">
        <f t="shared" si="16"/>
        <v>0</v>
      </c>
      <c r="BX9" s="38">
        <f t="shared" ref="BX9:BX27" si="24">BW9-INT(BW9/100)*100</f>
        <v>0</v>
      </c>
      <c r="CA9" s="44" t="str">
        <f t="shared" ref="CA9:CA27" si="25">IF(CD9="","",(YEAR(I9)-INT(YEAR(I9)/100)*100)*10000000+MONTH(I9)*100000+DAY(I9)*1000+B9)</f>
        <v/>
      </c>
      <c r="CB9" s="44" t="str">
        <f>IF(CD9="","",IF(LEN(C9)+LEN(D9)&lt;5,C9&amp;LEFT("　　　　　",5-LEN(C9)-LEN(D9))&amp;D9&amp;"("&amp;G9&amp;")",C9&amp;"　"&amp;D9&amp;"("&amp;G9&amp;")"))</f>
        <v/>
      </c>
      <c r="CC9" s="44" t="str">
        <f t="shared" ref="CC9:CC27" si="26">CONCATENATE(E9," ",F9)</f>
        <v xml:space="preserve"> </v>
      </c>
      <c r="CD9" s="44" t="str">
        <f t="shared" ref="CD9:CD27" si="27">IF(H9="","",IF(H9="M",1,IF(H9="F",2,"ｴﾗｰ")))</f>
        <v/>
      </c>
      <c r="CE9" s="44" t="str">
        <f t="shared" ref="CE9:CE27" si="28">IF(J9="","",27)</f>
        <v/>
      </c>
      <c r="CF9" s="44" t="str">
        <f t="shared" ref="CF9:CF27" si="29">IF(CD9="","",275000+$P$1)</f>
        <v/>
      </c>
      <c r="CI9" s="44" t="str">
        <f t="shared" ref="CI9:CI27" si="30">IF(B9="","",B9)</f>
        <v/>
      </c>
      <c r="CJ9" s="44" t="str">
        <f t="shared" ref="CJ9:CJ27" si="31">IF(K9="","",RIGHT(IF(H9="M",VLOOKUP(K9,$BB$10:$BC$22,2,FALSE),VLOOKUP(K9,$BB$23:$BC$32,2,FALSE))*100+100000,5)&amp;" "&amp;RIGHT(10000000+L9*10000+N9*100+P9,VLOOKUP(K9,$AY$10:$BA$24,3,FALSE)))</f>
        <v/>
      </c>
      <c r="CK9" s="44" t="str">
        <f t="shared" ref="CK9:CK27" si="32">IF(Q9="","",RIGHT(IF(H9="M",VLOOKUP(Q9,$BB$10:$BC$22,2,FALSE),VLOOKUP(Q9,$BB$23:$BC$32,2,FALSE))*100+100000,5)&amp;" "&amp;RIGHT(10000000+R9*10000+T9*100+V9,VLOOKUP(Q9,$AY$10:$BA$24,3,FALSE)))</f>
        <v/>
      </c>
    </row>
    <row r="10" spans="1:89" ht="18" customHeight="1">
      <c r="A10" s="10">
        <v>3</v>
      </c>
      <c r="B10" s="4"/>
      <c r="C10" s="4"/>
      <c r="D10" s="4"/>
      <c r="E10" s="4"/>
      <c r="F10" s="4"/>
      <c r="G10" s="4"/>
      <c r="H10" s="4"/>
      <c r="I10" s="35"/>
      <c r="J10" s="26" t="str">
        <f t="shared" si="0"/>
        <v/>
      </c>
      <c r="K10" s="4"/>
      <c r="L10" s="27"/>
      <c r="M10" s="28" t="str">
        <f t="shared" si="1"/>
        <v/>
      </c>
      <c r="N10" s="29"/>
      <c r="O10" s="30" t="str">
        <f t="shared" si="2"/>
        <v/>
      </c>
      <c r="P10" s="31"/>
      <c r="Q10" s="4"/>
      <c r="R10" s="27"/>
      <c r="S10" s="28" t="str">
        <f t="shared" si="3"/>
        <v/>
      </c>
      <c r="T10" s="29"/>
      <c r="U10" s="30" t="str">
        <f t="shared" si="4"/>
        <v/>
      </c>
      <c r="V10" s="31"/>
      <c r="W10" s="32"/>
      <c r="X10" s="32"/>
      <c r="AA10" s="41">
        <f t="shared" si="5"/>
        <v>0</v>
      </c>
      <c r="AB10" s="42">
        <f t="shared" si="6"/>
        <v>0</v>
      </c>
      <c r="AC10" s="41">
        <f t="shared" si="7"/>
        <v>0</v>
      </c>
      <c r="AD10" s="42">
        <f t="shared" si="8"/>
        <v>0</v>
      </c>
      <c r="AE10" s="41">
        <f t="shared" si="9"/>
        <v>0</v>
      </c>
      <c r="AH10" s="38" t="s">
        <v>184</v>
      </c>
      <c r="AJ10" s="38">
        <v>100</v>
      </c>
      <c r="AK10" s="38">
        <v>100</v>
      </c>
      <c r="AL10" s="38" t="s">
        <v>13</v>
      </c>
      <c r="AM10" s="38" t="s">
        <v>410</v>
      </c>
      <c r="AN10" s="38">
        <v>1</v>
      </c>
      <c r="AO10" s="38">
        <v>501</v>
      </c>
      <c r="AP10" s="38" t="s">
        <v>67</v>
      </c>
      <c r="AQ10" s="38" t="s">
        <v>251</v>
      </c>
      <c r="AR10" s="38" t="s">
        <v>68</v>
      </c>
      <c r="AS10" s="38" t="s">
        <v>69</v>
      </c>
      <c r="AT10" s="38" t="s">
        <v>70</v>
      </c>
      <c r="AU10" s="38" t="s">
        <v>71</v>
      </c>
      <c r="AV10" s="38" t="s">
        <v>72</v>
      </c>
      <c r="AW10" s="38" t="s">
        <v>110</v>
      </c>
      <c r="AY10" s="38">
        <v>100</v>
      </c>
      <c r="AZ10" s="38">
        <v>2</v>
      </c>
      <c r="BA10" s="38">
        <v>7</v>
      </c>
      <c r="BB10" s="38">
        <v>100</v>
      </c>
      <c r="BC10" s="43">
        <v>2</v>
      </c>
      <c r="BD10" s="38">
        <v>1</v>
      </c>
      <c r="BE10" s="38" t="s">
        <v>185</v>
      </c>
      <c r="BF10" s="38" t="s">
        <v>186</v>
      </c>
      <c r="BH10" s="38">
        <f t="shared" si="10"/>
        <v>0</v>
      </c>
      <c r="BI10" s="38">
        <f t="shared" si="11"/>
        <v>0</v>
      </c>
      <c r="BJ10" s="38" t="str">
        <f t="shared" si="17"/>
        <v/>
      </c>
      <c r="BK10" s="38">
        <f t="shared" si="12"/>
        <v>0</v>
      </c>
      <c r="BL10" s="38">
        <f t="shared" si="13"/>
        <v>0</v>
      </c>
      <c r="BM10" s="38">
        <f t="shared" si="14"/>
        <v>0</v>
      </c>
      <c r="BN10" s="38">
        <v>3</v>
      </c>
      <c r="BP10" s="38">
        <f t="shared" si="18"/>
        <v>0</v>
      </c>
      <c r="BQ10" s="38">
        <f t="shared" si="19"/>
        <v>0</v>
      </c>
      <c r="BR10" s="38">
        <f t="shared" si="20"/>
        <v>0</v>
      </c>
      <c r="BS10" s="38">
        <f t="shared" si="21"/>
        <v>0</v>
      </c>
      <c r="BT10" s="38">
        <f t="shared" si="15"/>
        <v>0</v>
      </c>
      <c r="BU10" s="38">
        <f t="shared" si="22"/>
        <v>0</v>
      </c>
      <c r="BV10" s="38">
        <f t="shared" si="23"/>
        <v>0</v>
      </c>
      <c r="BW10" s="38">
        <f t="shared" si="16"/>
        <v>0</v>
      </c>
      <c r="BX10" s="38">
        <f t="shared" si="24"/>
        <v>0</v>
      </c>
      <c r="CA10" s="44" t="str">
        <f t="shared" si="25"/>
        <v/>
      </c>
      <c r="CB10" s="44" t="str">
        <f>IF(CD10="","",IF(LEN(C10)+LEN(D10)&lt;5,C10&amp;LEFT("　　　　　",5-LEN(C10)-LEN(D10))&amp;D10&amp;"("&amp;G10&amp;")",C10&amp;"　"&amp;D10&amp;"("&amp;G10&amp;")"))</f>
        <v/>
      </c>
      <c r="CC10" s="44" t="str">
        <f t="shared" si="26"/>
        <v xml:space="preserve"> </v>
      </c>
      <c r="CD10" s="44" t="str">
        <f t="shared" si="27"/>
        <v/>
      </c>
      <c r="CE10" s="44" t="str">
        <f t="shared" si="28"/>
        <v/>
      </c>
      <c r="CF10" s="44" t="str">
        <f t="shared" si="29"/>
        <v/>
      </c>
      <c r="CI10" s="44" t="str">
        <f t="shared" si="30"/>
        <v/>
      </c>
      <c r="CJ10" s="44" t="str">
        <f t="shared" si="31"/>
        <v/>
      </c>
      <c r="CK10" s="44" t="str">
        <f t="shared" si="32"/>
        <v/>
      </c>
    </row>
    <row r="11" spans="1:89" ht="18" customHeight="1">
      <c r="A11" s="10">
        <v>4</v>
      </c>
      <c r="B11" s="4"/>
      <c r="C11" s="4"/>
      <c r="D11" s="4"/>
      <c r="E11" s="4"/>
      <c r="F11" s="4"/>
      <c r="G11" s="4"/>
      <c r="H11" s="4"/>
      <c r="I11" s="35"/>
      <c r="J11" s="26" t="str">
        <f t="shared" si="0"/>
        <v/>
      </c>
      <c r="K11" s="4"/>
      <c r="L11" s="27"/>
      <c r="M11" s="28" t="str">
        <f t="shared" si="1"/>
        <v/>
      </c>
      <c r="N11" s="29"/>
      <c r="O11" s="30" t="str">
        <f t="shared" si="2"/>
        <v/>
      </c>
      <c r="P11" s="31"/>
      <c r="Q11" s="4"/>
      <c r="R11" s="27"/>
      <c r="S11" s="28" t="str">
        <f t="shared" si="3"/>
        <v/>
      </c>
      <c r="T11" s="29"/>
      <c r="U11" s="30" t="str">
        <f t="shared" si="4"/>
        <v/>
      </c>
      <c r="V11" s="31"/>
      <c r="W11" s="32"/>
      <c r="X11" s="32"/>
      <c r="AA11" s="41">
        <f t="shared" si="5"/>
        <v>0</v>
      </c>
      <c r="AB11" s="42">
        <f t="shared" si="6"/>
        <v>0</v>
      </c>
      <c r="AC11" s="41">
        <f t="shared" si="7"/>
        <v>0</v>
      </c>
      <c r="AD11" s="42">
        <f t="shared" si="8"/>
        <v>0</v>
      </c>
      <c r="AE11" s="41">
        <f t="shared" si="9"/>
        <v>0</v>
      </c>
      <c r="AH11" s="38" t="s">
        <v>187</v>
      </c>
      <c r="AJ11" s="38">
        <v>200</v>
      </c>
      <c r="AK11" s="38">
        <v>200</v>
      </c>
      <c r="AM11" s="38" t="s">
        <v>411</v>
      </c>
      <c r="AN11" s="38">
        <v>2</v>
      </c>
      <c r="AO11" s="38">
        <v>502</v>
      </c>
      <c r="AP11" s="38" t="s">
        <v>18</v>
      </c>
      <c r="AQ11" s="38" t="s">
        <v>252</v>
      </c>
      <c r="AR11" s="38" t="s">
        <v>19</v>
      </c>
      <c r="AS11" s="38" t="s">
        <v>20</v>
      </c>
      <c r="AT11" s="38" t="s">
        <v>21</v>
      </c>
      <c r="AU11" s="38" t="s">
        <v>253</v>
      </c>
      <c r="AV11" s="38" t="s">
        <v>22</v>
      </c>
      <c r="AW11" s="38">
        <v>1</v>
      </c>
      <c r="AY11" s="38">
        <v>200</v>
      </c>
      <c r="AZ11" s="38">
        <v>3</v>
      </c>
      <c r="BA11" s="38">
        <v>7</v>
      </c>
      <c r="BB11" s="38">
        <v>200</v>
      </c>
      <c r="BC11" s="43">
        <v>3</v>
      </c>
      <c r="BD11" s="38">
        <v>2</v>
      </c>
      <c r="BE11" s="38" t="s">
        <v>232</v>
      </c>
      <c r="BF11" s="38" t="s">
        <v>231</v>
      </c>
      <c r="BH11" s="38">
        <f t="shared" si="10"/>
        <v>0</v>
      </c>
      <c r="BI11" s="38">
        <f t="shared" si="11"/>
        <v>0</v>
      </c>
      <c r="BJ11" s="38" t="str">
        <f t="shared" si="17"/>
        <v/>
      </c>
      <c r="BK11" s="38">
        <f t="shared" si="12"/>
        <v>0</v>
      </c>
      <c r="BL11" s="38">
        <f t="shared" si="13"/>
        <v>0</v>
      </c>
      <c r="BM11" s="38">
        <f t="shared" si="14"/>
        <v>0</v>
      </c>
      <c r="BP11" s="38">
        <f t="shared" si="18"/>
        <v>0</v>
      </c>
      <c r="BQ11" s="38">
        <f t="shared" si="19"/>
        <v>0</v>
      </c>
      <c r="BR11" s="38">
        <f t="shared" si="20"/>
        <v>0</v>
      </c>
      <c r="BS11" s="38">
        <f t="shared" si="21"/>
        <v>0</v>
      </c>
      <c r="BT11" s="38">
        <f t="shared" si="15"/>
        <v>0</v>
      </c>
      <c r="BU11" s="38">
        <f t="shared" si="22"/>
        <v>0</v>
      </c>
      <c r="BV11" s="38">
        <f t="shared" si="23"/>
        <v>0</v>
      </c>
      <c r="BW11" s="38">
        <f t="shared" si="16"/>
        <v>0</v>
      </c>
      <c r="BX11" s="38">
        <f t="shared" si="24"/>
        <v>0</v>
      </c>
      <c r="CA11" s="44" t="str">
        <f t="shared" si="25"/>
        <v/>
      </c>
      <c r="CB11" s="44" t="str">
        <f t="shared" ref="CB11:CB27" si="33">IF(CD11="","",IF(LEN(C11)+LEN(D11)&lt;5,C11&amp;LEFT("　　　　　",5-LEN(C11)-LEN(D11))&amp;D11&amp;"("&amp;G11&amp;")",C11&amp;"　"&amp;D11&amp;"("&amp;G11&amp;")"))</f>
        <v/>
      </c>
      <c r="CC11" s="44" t="str">
        <f t="shared" si="26"/>
        <v xml:space="preserve"> </v>
      </c>
      <c r="CD11" s="44" t="str">
        <f t="shared" si="27"/>
        <v/>
      </c>
      <c r="CE11" s="44" t="str">
        <f t="shared" si="28"/>
        <v/>
      </c>
      <c r="CF11" s="44" t="str">
        <f t="shared" si="29"/>
        <v/>
      </c>
      <c r="CI11" s="44" t="str">
        <f t="shared" si="30"/>
        <v/>
      </c>
      <c r="CJ11" s="44" t="str">
        <f t="shared" si="31"/>
        <v/>
      </c>
      <c r="CK11" s="44" t="str">
        <f t="shared" si="32"/>
        <v/>
      </c>
    </row>
    <row r="12" spans="1:89" ht="18" customHeight="1">
      <c r="A12" s="10">
        <v>5</v>
      </c>
      <c r="B12" s="4"/>
      <c r="C12" s="4"/>
      <c r="D12" s="4"/>
      <c r="E12" s="4"/>
      <c r="F12" s="4"/>
      <c r="G12" s="4"/>
      <c r="H12" s="4"/>
      <c r="I12" s="35"/>
      <c r="J12" s="26" t="str">
        <f t="shared" si="0"/>
        <v/>
      </c>
      <c r="K12" s="4"/>
      <c r="L12" s="27"/>
      <c r="M12" s="28" t="str">
        <f t="shared" si="1"/>
        <v/>
      </c>
      <c r="N12" s="29"/>
      <c r="O12" s="30" t="str">
        <f t="shared" si="2"/>
        <v/>
      </c>
      <c r="P12" s="31"/>
      <c r="Q12" s="4"/>
      <c r="R12" s="27"/>
      <c r="S12" s="28" t="str">
        <f t="shared" si="3"/>
        <v/>
      </c>
      <c r="T12" s="29"/>
      <c r="U12" s="30" t="str">
        <f t="shared" si="4"/>
        <v/>
      </c>
      <c r="V12" s="31"/>
      <c r="W12" s="32"/>
      <c r="X12" s="32"/>
      <c r="AA12" s="41">
        <f t="shared" si="5"/>
        <v>0</v>
      </c>
      <c r="AB12" s="42">
        <f t="shared" si="6"/>
        <v>0</v>
      </c>
      <c r="AC12" s="41">
        <f t="shared" si="7"/>
        <v>0</v>
      </c>
      <c r="AD12" s="42">
        <f t="shared" si="8"/>
        <v>0</v>
      </c>
      <c r="AE12" s="41">
        <f t="shared" si="9"/>
        <v>0</v>
      </c>
      <c r="AJ12" s="38">
        <v>400</v>
      </c>
      <c r="AK12" s="38">
        <v>400</v>
      </c>
      <c r="AO12" s="38">
        <v>503</v>
      </c>
      <c r="AP12" s="38" t="s">
        <v>57</v>
      </c>
      <c r="AQ12" s="38" t="s">
        <v>254</v>
      </c>
      <c r="AR12" s="38" t="s">
        <v>58</v>
      </c>
      <c r="AS12" s="38" t="s">
        <v>59</v>
      </c>
      <c r="AT12" s="38" t="s">
        <v>60</v>
      </c>
      <c r="AU12" s="38" t="s">
        <v>255</v>
      </c>
      <c r="AV12" s="38" t="s">
        <v>61</v>
      </c>
      <c r="AW12" s="38">
        <v>2</v>
      </c>
      <c r="AY12" s="38">
        <v>400</v>
      </c>
      <c r="AZ12" s="38">
        <v>5</v>
      </c>
      <c r="BA12" s="38">
        <v>7</v>
      </c>
      <c r="BB12" s="38">
        <v>400</v>
      </c>
      <c r="BC12" s="43">
        <v>5</v>
      </c>
      <c r="BH12" s="38">
        <f t="shared" si="10"/>
        <v>0</v>
      </c>
      <c r="BI12" s="38">
        <f t="shared" si="11"/>
        <v>0</v>
      </c>
      <c r="BJ12" s="38" t="str">
        <f t="shared" si="17"/>
        <v/>
      </c>
      <c r="BK12" s="38">
        <f t="shared" si="12"/>
        <v>0</v>
      </c>
      <c r="BL12" s="38">
        <f t="shared" si="13"/>
        <v>0</v>
      </c>
      <c r="BM12" s="38">
        <f t="shared" si="14"/>
        <v>0</v>
      </c>
      <c r="BP12" s="38">
        <f t="shared" si="18"/>
        <v>0</v>
      </c>
      <c r="BQ12" s="38">
        <f t="shared" si="19"/>
        <v>0</v>
      </c>
      <c r="BR12" s="38">
        <f t="shared" si="20"/>
        <v>0</v>
      </c>
      <c r="BS12" s="38">
        <f t="shared" si="21"/>
        <v>0</v>
      </c>
      <c r="BT12" s="38">
        <f t="shared" si="15"/>
        <v>0</v>
      </c>
      <c r="BU12" s="38">
        <f t="shared" si="22"/>
        <v>0</v>
      </c>
      <c r="BV12" s="38">
        <f t="shared" si="23"/>
        <v>0</v>
      </c>
      <c r="BW12" s="38">
        <f t="shared" si="16"/>
        <v>0</v>
      </c>
      <c r="BX12" s="38">
        <f t="shared" si="24"/>
        <v>0</v>
      </c>
      <c r="CA12" s="44" t="str">
        <f t="shared" si="25"/>
        <v/>
      </c>
      <c r="CB12" s="44" t="str">
        <f t="shared" si="33"/>
        <v/>
      </c>
      <c r="CC12" s="44" t="str">
        <f t="shared" si="26"/>
        <v xml:space="preserve"> </v>
      </c>
      <c r="CD12" s="44" t="str">
        <f t="shared" si="27"/>
        <v/>
      </c>
      <c r="CE12" s="44" t="str">
        <f t="shared" si="28"/>
        <v/>
      </c>
      <c r="CF12" s="44" t="str">
        <f t="shared" si="29"/>
        <v/>
      </c>
      <c r="CI12" s="44" t="str">
        <f t="shared" si="30"/>
        <v/>
      </c>
      <c r="CJ12" s="44" t="str">
        <f t="shared" si="31"/>
        <v/>
      </c>
      <c r="CK12" s="44" t="str">
        <f t="shared" si="32"/>
        <v/>
      </c>
    </row>
    <row r="13" spans="1:89" ht="18" customHeight="1">
      <c r="A13" s="10">
        <v>6</v>
      </c>
      <c r="B13" s="4"/>
      <c r="C13" s="4"/>
      <c r="D13" s="4"/>
      <c r="E13" s="4"/>
      <c r="F13" s="4"/>
      <c r="G13" s="4"/>
      <c r="H13" s="4"/>
      <c r="I13" s="35"/>
      <c r="J13" s="26" t="str">
        <f t="shared" si="0"/>
        <v/>
      </c>
      <c r="K13" s="4"/>
      <c r="L13" s="27"/>
      <c r="M13" s="28" t="str">
        <f t="shared" si="1"/>
        <v/>
      </c>
      <c r="N13" s="29"/>
      <c r="O13" s="30" t="str">
        <f t="shared" si="2"/>
        <v/>
      </c>
      <c r="P13" s="31"/>
      <c r="Q13" s="4"/>
      <c r="R13" s="27"/>
      <c r="S13" s="28" t="str">
        <f t="shared" si="3"/>
        <v/>
      </c>
      <c r="T13" s="29"/>
      <c r="U13" s="30" t="str">
        <f t="shared" si="4"/>
        <v/>
      </c>
      <c r="V13" s="31"/>
      <c r="W13" s="32"/>
      <c r="X13" s="32"/>
      <c r="AA13" s="41">
        <f t="shared" si="5"/>
        <v>0</v>
      </c>
      <c r="AB13" s="42">
        <f t="shared" si="6"/>
        <v>0</v>
      </c>
      <c r="AC13" s="41">
        <f t="shared" si="7"/>
        <v>0</v>
      </c>
      <c r="AD13" s="42">
        <f t="shared" si="8"/>
        <v>0</v>
      </c>
      <c r="AE13" s="41">
        <f t="shared" si="9"/>
        <v>0</v>
      </c>
      <c r="AJ13" s="38">
        <v>800</v>
      </c>
      <c r="AK13" s="38">
        <v>800</v>
      </c>
      <c r="AO13" s="38">
        <v>504</v>
      </c>
      <c r="AP13" s="38" t="s">
        <v>48</v>
      </c>
      <c r="AQ13" s="38" t="s">
        <v>256</v>
      </c>
      <c r="AR13" s="38" t="s">
        <v>217</v>
      </c>
      <c r="AS13" s="38" t="s">
        <v>218</v>
      </c>
      <c r="AT13" s="38" t="s">
        <v>257</v>
      </c>
      <c r="AU13" s="38" t="s">
        <v>219</v>
      </c>
      <c r="AV13" s="38" t="s">
        <v>220</v>
      </c>
      <c r="AW13" s="38">
        <v>3</v>
      </c>
      <c r="AY13" s="38">
        <v>800</v>
      </c>
      <c r="AZ13" s="38">
        <v>6</v>
      </c>
      <c r="BA13" s="38">
        <v>7</v>
      </c>
      <c r="BB13" s="38">
        <v>800</v>
      </c>
      <c r="BC13" s="43">
        <v>6</v>
      </c>
      <c r="BH13" s="38">
        <f t="shared" si="10"/>
        <v>0</v>
      </c>
      <c r="BI13" s="38">
        <f t="shared" si="11"/>
        <v>0</v>
      </c>
      <c r="BJ13" s="38" t="str">
        <f t="shared" si="17"/>
        <v/>
      </c>
      <c r="BK13" s="38">
        <f t="shared" si="12"/>
        <v>0</v>
      </c>
      <c r="BL13" s="38">
        <f t="shared" si="13"/>
        <v>0</v>
      </c>
      <c r="BM13" s="38">
        <f t="shared" si="14"/>
        <v>0</v>
      </c>
      <c r="BP13" s="38">
        <f t="shared" si="18"/>
        <v>0</v>
      </c>
      <c r="BQ13" s="38">
        <f t="shared" si="19"/>
        <v>0</v>
      </c>
      <c r="BR13" s="38">
        <f t="shared" si="20"/>
        <v>0</v>
      </c>
      <c r="BS13" s="38">
        <f t="shared" si="21"/>
        <v>0</v>
      </c>
      <c r="BT13" s="38">
        <f t="shared" si="15"/>
        <v>0</v>
      </c>
      <c r="BU13" s="38">
        <f t="shared" si="22"/>
        <v>0</v>
      </c>
      <c r="BV13" s="38">
        <f t="shared" si="23"/>
        <v>0</v>
      </c>
      <c r="BW13" s="38">
        <f t="shared" si="16"/>
        <v>0</v>
      </c>
      <c r="BX13" s="38">
        <f t="shared" si="24"/>
        <v>0</v>
      </c>
      <c r="CA13" s="44" t="str">
        <f t="shared" si="25"/>
        <v/>
      </c>
      <c r="CB13" s="44" t="str">
        <f t="shared" si="33"/>
        <v/>
      </c>
      <c r="CC13" s="44" t="str">
        <f t="shared" si="26"/>
        <v xml:space="preserve"> </v>
      </c>
      <c r="CD13" s="44" t="str">
        <f t="shared" si="27"/>
        <v/>
      </c>
      <c r="CE13" s="44" t="str">
        <f t="shared" si="28"/>
        <v/>
      </c>
      <c r="CF13" s="44" t="str">
        <f t="shared" si="29"/>
        <v/>
      </c>
      <c r="CI13" s="44" t="str">
        <f t="shared" si="30"/>
        <v/>
      </c>
      <c r="CJ13" s="44" t="str">
        <f t="shared" si="31"/>
        <v/>
      </c>
      <c r="CK13" s="44" t="str">
        <f t="shared" si="32"/>
        <v/>
      </c>
    </row>
    <row r="14" spans="1:89" ht="18" customHeight="1">
      <c r="A14" s="10">
        <v>7</v>
      </c>
      <c r="B14" s="4"/>
      <c r="C14" s="4"/>
      <c r="D14" s="4"/>
      <c r="E14" s="4"/>
      <c r="F14" s="4"/>
      <c r="G14" s="4"/>
      <c r="H14" s="4"/>
      <c r="I14" s="35"/>
      <c r="J14" s="26" t="str">
        <f t="shared" si="0"/>
        <v/>
      </c>
      <c r="K14" s="4"/>
      <c r="L14" s="27"/>
      <c r="M14" s="28" t="str">
        <f t="shared" si="1"/>
        <v/>
      </c>
      <c r="N14" s="29"/>
      <c r="O14" s="30" t="str">
        <f t="shared" si="2"/>
        <v/>
      </c>
      <c r="P14" s="31"/>
      <c r="Q14" s="4"/>
      <c r="R14" s="27"/>
      <c r="S14" s="28" t="str">
        <f t="shared" si="3"/>
        <v/>
      </c>
      <c r="T14" s="29"/>
      <c r="U14" s="30" t="str">
        <f t="shared" si="4"/>
        <v/>
      </c>
      <c r="V14" s="31"/>
      <c r="W14" s="32"/>
      <c r="X14" s="32"/>
      <c r="AA14" s="41">
        <f t="shared" si="5"/>
        <v>0</v>
      </c>
      <c r="AB14" s="42">
        <f t="shared" si="6"/>
        <v>0</v>
      </c>
      <c r="AC14" s="41">
        <f t="shared" si="7"/>
        <v>0</v>
      </c>
      <c r="AD14" s="42">
        <f t="shared" si="8"/>
        <v>0</v>
      </c>
      <c r="AE14" s="41">
        <f t="shared" si="9"/>
        <v>0</v>
      </c>
      <c r="AJ14" s="38">
        <v>1500</v>
      </c>
      <c r="AK14" s="38">
        <v>3000</v>
      </c>
      <c r="AO14" s="38">
        <v>505</v>
      </c>
      <c r="AP14" s="38" t="s">
        <v>49</v>
      </c>
      <c r="AQ14" s="38" t="s">
        <v>258</v>
      </c>
      <c r="AR14" s="38" t="s">
        <v>50</v>
      </c>
      <c r="AS14" s="38" t="s">
        <v>259</v>
      </c>
      <c r="AT14" s="38" t="s">
        <v>51</v>
      </c>
      <c r="AU14" s="38" t="s">
        <v>52</v>
      </c>
      <c r="AV14" s="38" t="s">
        <v>53</v>
      </c>
      <c r="AW14" s="38">
        <v>4</v>
      </c>
      <c r="AY14" s="38">
        <v>1500</v>
      </c>
      <c r="AZ14" s="38">
        <v>8</v>
      </c>
      <c r="BA14" s="38">
        <v>7</v>
      </c>
      <c r="BB14" s="38">
        <v>1500</v>
      </c>
      <c r="BC14" s="43">
        <v>8</v>
      </c>
      <c r="BH14" s="38">
        <f t="shared" si="10"/>
        <v>0</v>
      </c>
      <c r="BI14" s="38">
        <f t="shared" si="11"/>
        <v>0</v>
      </c>
      <c r="BJ14" s="38" t="str">
        <f t="shared" si="17"/>
        <v/>
      </c>
      <c r="BK14" s="38">
        <f t="shared" si="12"/>
        <v>0</v>
      </c>
      <c r="BL14" s="38">
        <f t="shared" si="13"/>
        <v>0</v>
      </c>
      <c r="BM14" s="38">
        <f t="shared" si="14"/>
        <v>0</v>
      </c>
      <c r="BP14" s="38">
        <f t="shared" si="18"/>
        <v>0</v>
      </c>
      <c r="BQ14" s="38">
        <f t="shared" si="19"/>
        <v>0</v>
      </c>
      <c r="BR14" s="38">
        <f t="shared" si="20"/>
        <v>0</v>
      </c>
      <c r="BS14" s="38">
        <f t="shared" si="21"/>
        <v>0</v>
      </c>
      <c r="BT14" s="38">
        <f t="shared" si="15"/>
        <v>0</v>
      </c>
      <c r="BU14" s="38">
        <f t="shared" si="22"/>
        <v>0</v>
      </c>
      <c r="BV14" s="38">
        <f t="shared" si="23"/>
        <v>0</v>
      </c>
      <c r="BW14" s="38">
        <f t="shared" si="16"/>
        <v>0</v>
      </c>
      <c r="BX14" s="38">
        <f t="shared" si="24"/>
        <v>0</v>
      </c>
      <c r="CA14" s="44" t="str">
        <f t="shared" si="25"/>
        <v/>
      </c>
      <c r="CB14" s="44" t="str">
        <f t="shared" si="33"/>
        <v/>
      </c>
      <c r="CC14" s="44" t="str">
        <f t="shared" si="26"/>
        <v xml:space="preserve"> </v>
      </c>
      <c r="CD14" s="44" t="str">
        <f t="shared" si="27"/>
        <v/>
      </c>
      <c r="CE14" s="44" t="str">
        <f t="shared" si="28"/>
        <v/>
      </c>
      <c r="CF14" s="44" t="str">
        <f t="shared" si="29"/>
        <v/>
      </c>
      <c r="CI14" s="44" t="str">
        <f t="shared" si="30"/>
        <v/>
      </c>
      <c r="CJ14" s="44" t="str">
        <f t="shared" si="31"/>
        <v/>
      </c>
      <c r="CK14" s="44" t="str">
        <f t="shared" si="32"/>
        <v/>
      </c>
    </row>
    <row r="15" spans="1:89" ht="18" customHeight="1">
      <c r="A15" s="10">
        <v>8</v>
      </c>
      <c r="B15" s="4"/>
      <c r="C15" s="4"/>
      <c r="D15" s="4"/>
      <c r="E15" s="4"/>
      <c r="F15" s="4"/>
      <c r="G15" s="4"/>
      <c r="H15" s="4"/>
      <c r="I15" s="35"/>
      <c r="J15" s="26" t="str">
        <f t="shared" si="0"/>
        <v/>
      </c>
      <c r="K15" s="4"/>
      <c r="L15" s="27"/>
      <c r="M15" s="28" t="str">
        <f t="shared" si="1"/>
        <v/>
      </c>
      <c r="N15" s="29"/>
      <c r="O15" s="30" t="str">
        <f t="shared" si="2"/>
        <v/>
      </c>
      <c r="P15" s="31"/>
      <c r="Q15" s="4"/>
      <c r="R15" s="27"/>
      <c r="S15" s="28" t="str">
        <f t="shared" si="3"/>
        <v/>
      </c>
      <c r="T15" s="29"/>
      <c r="U15" s="30" t="str">
        <f t="shared" si="4"/>
        <v/>
      </c>
      <c r="V15" s="31"/>
      <c r="W15" s="32"/>
      <c r="X15" s="32"/>
      <c r="AA15" s="41">
        <f t="shared" si="5"/>
        <v>0</v>
      </c>
      <c r="AB15" s="42">
        <f t="shared" si="6"/>
        <v>0</v>
      </c>
      <c r="AC15" s="41">
        <f t="shared" si="7"/>
        <v>0</v>
      </c>
      <c r="AD15" s="42">
        <f t="shared" si="8"/>
        <v>0</v>
      </c>
      <c r="AE15" s="41">
        <f t="shared" si="9"/>
        <v>0</v>
      </c>
      <c r="AJ15" s="38">
        <v>5000</v>
      </c>
      <c r="AK15" s="38" t="s">
        <v>188</v>
      </c>
      <c r="AO15" s="38">
        <v>506</v>
      </c>
      <c r="AP15" s="38" t="s">
        <v>85</v>
      </c>
      <c r="AQ15" s="38" t="s">
        <v>260</v>
      </c>
      <c r="AR15" s="38" t="s">
        <v>86</v>
      </c>
      <c r="AS15" s="38" t="s">
        <v>87</v>
      </c>
      <c r="AT15" s="38" t="s">
        <v>261</v>
      </c>
      <c r="AU15" s="38" t="s">
        <v>88</v>
      </c>
      <c r="AV15" s="38" t="s">
        <v>89</v>
      </c>
      <c r="AW15" s="38">
        <v>5</v>
      </c>
      <c r="AY15" s="38">
        <v>3000</v>
      </c>
      <c r="AZ15" s="38">
        <v>10</v>
      </c>
      <c r="BA15" s="38">
        <v>7</v>
      </c>
      <c r="BB15" s="38">
        <v>5000</v>
      </c>
      <c r="BC15" s="43">
        <v>11</v>
      </c>
      <c r="BH15" s="38">
        <f t="shared" si="10"/>
        <v>0</v>
      </c>
      <c r="BI15" s="38">
        <f t="shared" si="11"/>
        <v>0</v>
      </c>
      <c r="BJ15" s="38" t="str">
        <f t="shared" si="17"/>
        <v/>
      </c>
      <c r="BK15" s="38">
        <f t="shared" si="12"/>
        <v>0</v>
      </c>
      <c r="BL15" s="38">
        <f t="shared" si="13"/>
        <v>0</v>
      </c>
      <c r="BM15" s="38">
        <f t="shared" si="14"/>
        <v>0</v>
      </c>
      <c r="BP15" s="38">
        <f t="shared" si="18"/>
        <v>0</v>
      </c>
      <c r="BQ15" s="38">
        <f t="shared" si="19"/>
        <v>0</v>
      </c>
      <c r="BR15" s="38">
        <f t="shared" si="20"/>
        <v>0</v>
      </c>
      <c r="BS15" s="38">
        <f t="shared" si="21"/>
        <v>0</v>
      </c>
      <c r="BT15" s="38">
        <f t="shared" si="15"/>
        <v>0</v>
      </c>
      <c r="BU15" s="38">
        <f t="shared" si="22"/>
        <v>0</v>
      </c>
      <c r="BV15" s="38">
        <f t="shared" si="23"/>
        <v>0</v>
      </c>
      <c r="BW15" s="38">
        <f t="shared" si="16"/>
        <v>0</v>
      </c>
      <c r="BX15" s="38">
        <f t="shared" si="24"/>
        <v>0</v>
      </c>
      <c r="CA15" s="44" t="str">
        <f t="shared" si="25"/>
        <v/>
      </c>
      <c r="CB15" s="44" t="str">
        <f t="shared" si="33"/>
        <v/>
      </c>
      <c r="CC15" s="44" t="str">
        <f t="shared" si="26"/>
        <v xml:space="preserve"> </v>
      </c>
      <c r="CD15" s="44" t="str">
        <f t="shared" si="27"/>
        <v/>
      </c>
      <c r="CE15" s="44" t="str">
        <f t="shared" si="28"/>
        <v/>
      </c>
      <c r="CF15" s="44" t="str">
        <f t="shared" si="29"/>
        <v/>
      </c>
      <c r="CI15" s="44" t="str">
        <f t="shared" si="30"/>
        <v/>
      </c>
      <c r="CJ15" s="44" t="str">
        <f t="shared" si="31"/>
        <v/>
      </c>
      <c r="CK15" s="44" t="str">
        <f t="shared" si="32"/>
        <v/>
      </c>
    </row>
    <row r="16" spans="1:89" ht="18" customHeight="1">
      <c r="A16" s="10">
        <v>9</v>
      </c>
      <c r="B16" s="4"/>
      <c r="C16" s="4"/>
      <c r="D16" s="4"/>
      <c r="E16" s="4"/>
      <c r="F16" s="4"/>
      <c r="G16" s="4"/>
      <c r="H16" s="4"/>
      <c r="I16" s="35"/>
      <c r="J16" s="26" t="str">
        <f t="shared" si="0"/>
        <v/>
      </c>
      <c r="K16" s="4"/>
      <c r="L16" s="27"/>
      <c r="M16" s="28" t="str">
        <f t="shared" si="1"/>
        <v/>
      </c>
      <c r="N16" s="29"/>
      <c r="O16" s="30" t="str">
        <f t="shared" si="2"/>
        <v/>
      </c>
      <c r="P16" s="31"/>
      <c r="Q16" s="4"/>
      <c r="R16" s="27"/>
      <c r="S16" s="28" t="str">
        <f t="shared" si="3"/>
        <v/>
      </c>
      <c r="T16" s="29"/>
      <c r="U16" s="30" t="str">
        <f t="shared" si="4"/>
        <v/>
      </c>
      <c r="V16" s="31"/>
      <c r="W16" s="32"/>
      <c r="X16" s="32"/>
      <c r="AA16" s="41">
        <f t="shared" si="5"/>
        <v>0</v>
      </c>
      <c r="AB16" s="42">
        <f t="shared" si="6"/>
        <v>0</v>
      </c>
      <c r="AC16" s="41">
        <f t="shared" si="7"/>
        <v>0</v>
      </c>
      <c r="AD16" s="42">
        <f t="shared" si="8"/>
        <v>0</v>
      </c>
      <c r="AE16" s="41">
        <f t="shared" si="9"/>
        <v>0</v>
      </c>
      <c r="AJ16" s="38" t="s">
        <v>122</v>
      </c>
      <c r="AK16" s="38" t="s">
        <v>6</v>
      </c>
      <c r="AO16" s="38">
        <v>507</v>
      </c>
      <c r="AP16" s="38" t="s">
        <v>73</v>
      </c>
      <c r="AQ16" s="38" t="s">
        <v>262</v>
      </c>
      <c r="AR16" s="38" t="s">
        <v>74</v>
      </c>
      <c r="AS16" s="38" t="s">
        <v>75</v>
      </c>
      <c r="AT16" s="38" t="s">
        <v>263</v>
      </c>
      <c r="AU16" s="38" t="s">
        <v>264</v>
      </c>
      <c r="AV16" s="38" t="s">
        <v>76</v>
      </c>
      <c r="AW16" s="38">
        <v>6</v>
      </c>
      <c r="AY16" s="38">
        <v>5000</v>
      </c>
      <c r="AZ16" s="38">
        <v>11</v>
      </c>
      <c r="BA16" s="38">
        <v>7</v>
      </c>
      <c r="BB16" s="38" t="s">
        <v>122</v>
      </c>
      <c r="BC16" s="43">
        <v>37</v>
      </c>
      <c r="BH16" s="38">
        <f t="shared" si="10"/>
        <v>0</v>
      </c>
      <c r="BI16" s="38">
        <f t="shared" si="11"/>
        <v>0</v>
      </c>
      <c r="BJ16" s="38" t="str">
        <f t="shared" si="17"/>
        <v/>
      </c>
      <c r="BK16" s="38">
        <f t="shared" si="12"/>
        <v>0</v>
      </c>
      <c r="BL16" s="38">
        <f t="shared" si="13"/>
        <v>0</v>
      </c>
      <c r="BM16" s="38">
        <f t="shared" si="14"/>
        <v>0</v>
      </c>
      <c r="BP16" s="38">
        <f t="shared" si="18"/>
        <v>0</v>
      </c>
      <c r="BQ16" s="38">
        <f t="shared" si="19"/>
        <v>0</v>
      </c>
      <c r="BR16" s="38">
        <f t="shared" si="20"/>
        <v>0</v>
      </c>
      <c r="BS16" s="38">
        <f t="shared" si="21"/>
        <v>0</v>
      </c>
      <c r="BT16" s="38">
        <f t="shared" si="15"/>
        <v>0</v>
      </c>
      <c r="BU16" s="38">
        <f t="shared" si="22"/>
        <v>0</v>
      </c>
      <c r="BV16" s="38">
        <f t="shared" si="23"/>
        <v>0</v>
      </c>
      <c r="BW16" s="38">
        <f t="shared" si="16"/>
        <v>0</v>
      </c>
      <c r="BX16" s="38">
        <f t="shared" si="24"/>
        <v>0</v>
      </c>
      <c r="CA16" s="44" t="str">
        <f t="shared" si="25"/>
        <v/>
      </c>
      <c r="CB16" s="44" t="str">
        <f t="shared" si="33"/>
        <v/>
      </c>
      <c r="CC16" s="44" t="str">
        <f t="shared" si="26"/>
        <v xml:space="preserve"> </v>
      </c>
      <c r="CD16" s="44" t="str">
        <f t="shared" si="27"/>
        <v/>
      </c>
      <c r="CE16" s="44" t="str">
        <f t="shared" si="28"/>
        <v/>
      </c>
      <c r="CF16" s="44" t="str">
        <f t="shared" si="29"/>
        <v/>
      </c>
      <c r="CI16" s="44" t="str">
        <f t="shared" si="30"/>
        <v/>
      </c>
      <c r="CJ16" s="44" t="str">
        <f t="shared" si="31"/>
        <v/>
      </c>
      <c r="CK16" s="44" t="str">
        <f t="shared" si="32"/>
        <v/>
      </c>
    </row>
    <row r="17" spans="1:90" ht="18" customHeight="1">
      <c r="A17" s="10">
        <v>10</v>
      </c>
      <c r="B17" s="4"/>
      <c r="C17" s="4"/>
      <c r="D17" s="4"/>
      <c r="E17" s="4"/>
      <c r="F17" s="4"/>
      <c r="G17" s="4"/>
      <c r="H17" s="4"/>
      <c r="I17" s="35"/>
      <c r="J17" s="26" t="str">
        <f t="shared" si="0"/>
        <v/>
      </c>
      <c r="K17" s="4"/>
      <c r="L17" s="27"/>
      <c r="M17" s="28" t="str">
        <f t="shared" si="1"/>
        <v/>
      </c>
      <c r="N17" s="29"/>
      <c r="O17" s="30" t="str">
        <f t="shared" si="2"/>
        <v/>
      </c>
      <c r="P17" s="31"/>
      <c r="Q17" s="4"/>
      <c r="R17" s="27"/>
      <c r="S17" s="28" t="str">
        <f t="shared" si="3"/>
        <v/>
      </c>
      <c r="T17" s="29"/>
      <c r="U17" s="30" t="str">
        <f t="shared" si="4"/>
        <v/>
      </c>
      <c r="V17" s="31"/>
      <c r="W17" s="32"/>
      <c r="X17" s="32"/>
      <c r="AA17" s="41">
        <f t="shared" si="5"/>
        <v>0</v>
      </c>
      <c r="AB17" s="42">
        <f t="shared" si="6"/>
        <v>0</v>
      </c>
      <c r="AC17" s="41">
        <f t="shared" si="7"/>
        <v>0</v>
      </c>
      <c r="AD17" s="42">
        <f t="shared" si="8"/>
        <v>0</v>
      </c>
      <c r="AE17" s="41">
        <f t="shared" si="9"/>
        <v>0</v>
      </c>
      <c r="AJ17" s="38" t="s">
        <v>189</v>
      </c>
      <c r="AK17" s="38" t="s">
        <v>7</v>
      </c>
      <c r="AO17" s="38">
        <v>508</v>
      </c>
      <c r="AP17" s="38" t="s">
        <v>265</v>
      </c>
      <c r="AQ17" s="38" t="s">
        <v>266</v>
      </c>
      <c r="AR17" s="38" t="s">
        <v>267</v>
      </c>
      <c r="AS17" s="38" t="s">
        <v>228</v>
      </c>
      <c r="AT17" s="38" t="s">
        <v>268</v>
      </c>
      <c r="AU17" s="38" t="s">
        <v>229</v>
      </c>
      <c r="AV17" s="38" t="s">
        <v>230</v>
      </c>
      <c r="AY17" s="38" t="s">
        <v>190</v>
      </c>
      <c r="AZ17" s="38">
        <v>37</v>
      </c>
      <c r="BA17" s="38">
        <v>7</v>
      </c>
      <c r="BB17" s="38" t="s">
        <v>189</v>
      </c>
      <c r="BC17" s="43">
        <v>53</v>
      </c>
      <c r="BH17" s="38">
        <f t="shared" si="10"/>
        <v>0</v>
      </c>
      <c r="BI17" s="38">
        <f t="shared" si="11"/>
        <v>0</v>
      </c>
      <c r="BJ17" s="38" t="str">
        <f t="shared" si="17"/>
        <v/>
      </c>
      <c r="BK17" s="38">
        <f t="shared" si="12"/>
        <v>0</v>
      </c>
      <c r="BL17" s="38">
        <f t="shared" si="13"/>
        <v>0</v>
      </c>
      <c r="BM17" s="38">
        <f t="shared" si="14"/>
        <v>0</v>
      </c>
      <c r="BP17" s="38">
        <f t="shared" si="18"/>
        <v>0</v>
      </c>
      <c r="BQ17" s="38">
        <f t="shared" si="19"/>
        <v>0</v>
      </c>
      <c r="BR17" s="38">
        <f t="shared" si="20"/>
        <v>0</v>
      </c>
      <c r="BS17" s="38">
        <f t="shared" si="21"/>
        <v>0</v>
      </c>
      <c r="BT17" s="38">
        <f t="shared" si="15"/>
        <v>0</v>
      </c>
      <c r="BU17" s="38">
        <f t="shared" si="22"/>
        <v>0</v>
      </c>
      <c r="BV17" s="38">
        <f t="shared" si="23"/>
        <v>0</v>
      </c>
      <c r="BW17" s="38">
        <f t="shared" si="16"/>
        <v>0</v>
      </c>
      <c r="BX17" s="38">
        <f t="shared" si="24"/>
        <v>0</v>
      </c>
      <c r="CA17" s="44" t="str">
        <f t="shared" si="25"/>
        <v/>
      </c>
      <c r="CB17" s="44" t="str">
        <f t="shared" si="33"/>
        <v/>
      </c>
      <c r="CC17" s="44" t="str">
        <f t="shared" si="26"/>
        <v xml:space="preserve"> </v>
      </c>
      <c r="CD17" s="44" t="str">
        <f t="shared" si="27"/>
        <v/>
      </c>
      <c r="CE17" s="44" t="str">
        <f t="shared" si="28"/>
        <v/>
      </c>
      <c r="CF17" s="44" t="str">
        <f t="shared" si="29"/>
        <v/>
      </c>
      <c r="CI17" s="44" t="str">
        <f t="shared" si="30"/>
        <v/>
      </c>
      <c r="CJ17" s="44" t="str">
        <f t="shared" si="31"/>
        <v/>
      </c>
      <c r="CK17" s="44" t="str">
        <f t="shared" si="32"/>
        <v/>
      </c>
    </row>
    <row r="18" spans="1:90" ht="18" customHeight="1">
      <c r="A18" s="10">
        <v>11</v>
      </c>
      <c r="B18" s="4"/>
      <c r="C18" s="4"/>
      <c r="D18" s="4"/>
      <c r="E18" s="4"/>
      <c r="F18" s="4"/>
      <c r="G18" s="4"/>
      <c r="H18" s="4"/>
      <c r="I18" s="35"/>
      <c r="J18" s="26" t="str">
        <f t="shared" si="0"/>
        <v/>
      </c>
      <c r="K18" s="4"/>
      <c r="L18" s="27"/>
      <c r="M18" s="28" t="str">
        <f t="shared" si="1"/>
        <v/>
      </c>
      <c r="N18" s="29"/>
      <c r="O18" s="30" t="str">
        <f t="shared" si="2"/>
        <v/>
      </c>
      <c r="P18" s="31"/>
      <c r="Q18" s="4"/>
      <c r="R18" s="27"/>
      <c r="S18" s="28" t="str">
        <f t="shared" si="3"/>
        <v/>
      </c>
      <c r="T18" s="29"/>
      <c r="U18" s="30" t="str">
        <f t="shared" si="4"/>
        <v/>
      </c>
      <c r="V18" s="31"/>
      <c r="W18" s="32"/>
      <c r="X18" s="32"/>
      <c r="AA18" s="41">
        <f t="shared" si="5"/>
        <v>0</v>
      </c>
      <c r="AB18" s="42">
        <f t="shared" si="6"/>
        <v>0</v>
      </c>
      <c r="AC18" s="41">
        <f t="shared" si="7"/>
        <v>0</v>
      </c>
      <c r="AD18" s="42">
        <f t="shared" si="8"/>
        <v>0</v>
      </c>
      <c r="AE18" s="41">
        <f t="shared" si="9"/>
        <v>0</v>
      </c>
      <c r="AJ18" s="38" t="s">
        <v>6</v>
      </c>
      <c r="AK18" s="38" t="s">
        <v>9</v>
      </c>
      <c r="AO18" s="38">
        <v>509</v>
      </c>
      <c r="AP18" s="38" t="s">
        <v>269</v>
      </c>
      <c r="AQ18" s="38" t="s">
        <v>270</v>
      </c>
      <c r="AR18" s="38" t="s">
        <v>271</v>
      </c>
      <c r="AS18" s="38" t="s">
        <v>272</v>
      </c>
      <c r="AT18" s="38" t="s">
        <v>273</v>
      </c>
      <c r="AU18" s="38" t="s">
        <v>274</v>
      </c>
      <c r="AV18" s="38" t="s">
        <v>275</v>
      </c>
      <c r="AY18" s="38" t="s">
        <v>144</v>
      </c>
      <c r="AZ18" s="38">
        <v>44</v>
      </c>
      <c r="BA18" s="38">
        <v>7</v>
      </c>
      <c r="BB18" s="38" t="s">
        <v>128</v>
      </c>
      <c r="BC18" s="43">
        <v>71</v>
      </c>
      <c r="BH18" s="38">
        <f t="shared" si="10"/>
        <v>0</v>
      </c>
      <c r="BI18" s="38">
        <f t="shared" si="11"/>
        <v>0</v>
      </c>
      <c r="BJ18" s="38" t="str">
        <f t="shared" si="17"/>
        <v/>
      </c>
      <c r="BK18" s="38">
        <f t="shared" si="12"/>
        <v>0</v>
      </c>
      <c r="BL18" s="38">
        <f t="shared" si="13"/>
        <v>0</v>
      </c>
      <c r="BM18" s="38">
        <f t="shared" si="14"/>
        <v>0</v>
      </c>
      <c r="BP18" s="38">
        <f t="shared" si="18"/>
        <v>0</v>
      </c>
      <c r="BQ18" s="38">
        <f t="shared" si="19"/>
        <v>0</v>
      </c>
      <c r="BR18" s="38">
        <f t="shared" si="20"/>
        <v>0</v>
      </c>
      <c r="BS18" s="38">
        <f t="shared" si="21"/>
        <v>0</v>
      </c>
      <c r="BT18" s="38">
        <f t="shared" si="15"/>
        <v>0</v>
      </c>
      <c r="BU18" s="38">
        <f t="shared" si="22"/>
        <v>0</v>
      </c>
      <c r="BV18" s="38">
        <f t="shared" si="23"/>
        <v>0</v>
      </c>
      <c r="BW18" s="38">
        <f t="shared" si="16"/>
        <v>0</v>
      </c>
      <c r="BX18" s="38">
        <f t="shared" si="24"/>
        <v>0</v>
      </c>
      <c r="CA18" s="44" t="str">
        <f t="shared" si="25"/>
        <v/>
      </c>
      <c r="CB18" s="44" t="str">
        <f t="shared" si="33"/>
        <v/>
      </c>
      <c r="CC18" s="44" t="str">
        <f t="shared" si="26"/>
        <v xml:space="preserve"> </v>
      </c>
      <c r="CD18" s="44" t="str">
        <f t="shared" si="27"/>
        <v/>
      </c>
      <c r="CE18" s="44" t="str">
        <f t="shared" si="28"/>
        <v/>
      </c>
      <c r="CF18" s="44" t="str">
        <f t="shared" si="29"/>
        <v/>
      </c>
      <c r="CI18" s="44" t="str">
        <f t="shared" si="30"/>
        <v/>
      </c>
      <c r="CJ18" s="44" t="str">
        <f t="shared" si="31"/>
        <v/>
      </c>
      <c r="CK18" s="44" t="str">
        <f t="shared" si="32"/>
        <v/>
      </c>
    </row>
    <row r="19" spans="1:90" ht="18" customHeight="1">
      <c r="A19" s="10">
        <v>12</v>
      </c>
      <c r="B19" s="4"/>
      <c r="C19" s="4"/>
      <c r="D19" s="4"/>
      <c r="E19" s="4"/>
      <c r="F19" s="4"/>
      <c r="G19" s="4"/>
      <c r="H19" s="4"/>
      <c r="I19" s="35"/>
      <c r="J19" s="26" t="str">
        <f t="shared" si="0"/>
        <v/>
      </c>
      <c r="K19" s="4"/>
      <c r="L19" s="27"/>
      <c r="M19" s="28" t="str">
        <f t="shared" si="1"/>
        <v/>
      </c>
      <c r="N19" s="29"/>
      <c r="O19" s="30" t="str">
        <f t="shared" si="2"/>
        <v/>
      </c>
      <c r="P19" s="31"/>
      <c r="Q19" s="4"/>
      <c r="R19" s="27"/>
      <c r="S19" s="28" t="str">
        <f t="shared" si="3"/>
        <v/>
      </c>
      <c r="T19" s="29"/>
      <c r="U19" s="30" t="str">
        <f t="shared" si="4"/>
        <v/>
      </c>
      <c r="V19" s="31"/>
      <c r="W19" s="32"/>
      <c r="X19" s="32"/>
      <c r="AA19" s="41">
        <f t="shared" si="5"/>
        <v>0</v>
      </c>
      <c r="AB19" s="42">
        <f t="shared" si="6"/>
        <v>0</v>
      </c>
      <c r="AC19" s="41">
        <f t="shared" si="7"/>
        <v>0</v>
      </c>
      <c r="AD19" s="42">
        <f t="shared" si="8"/>
        <v>0</v>
      </c>
      <c r="AE19" s="41">
        <f t="shared" si="9"/>
        <v>0</v>
      </c>
      <c r="AJ19" s="38" t="s">
        <v>7</v>
      </c>
      <c r="AK19" s="38" t="s">
        <v>10</v>
      </c>
      <c r="AO19" s="38">
        <v>510</v>
      </c>
      <c r="AP19" s="38" t="s">
        <v>276</v>
      </c>
      <c r="AQ19" s="38" t="s">
        <v>277</v>
      </c>
      <c r="AR19" s="38" t="s">
        <v>278</v>
      </c>
      <c r="AS19" s="38" t="s">
        <v>63</v>
      </c>
      <c r="AT19" s="38" t="s">
        <v>279</v>
      </c>
      <c r="AU19" s="38" t="s">
        <v>65</v>
      </c>
      <c r="AV19" s="38" t="s">
        <v>275</v>
      </c>
      <c r="AY19" s="38" t="s">
        <v>143</v>
      </c>
      <c r="AZ19" s="38">
        <v>53</v>
      </c>
      <c r="BA19" s="38">
        <v>7</v>
      </c>
      <c r="BB19" s="38" t="s">
        <v>183</v>
      </c>
      <c r="BC19" s="43">
        <v>73</v>
      </c>
      <c r="BH19" s="38">
        <f t="shared" si="10"/>
        <v>0</v>
      </c>
      <c r="BI19" s="38">
        <f t="shared" si="11"/>
        <v>0</v>
      </c>
      <c r="BJ19" s="38" t="str">
        <f t="shared" si="17"/>
        <v/>
      </c>
      <c r="BK19" s="38">
        <f t="shared" si="12"/>
        <v>0</v>
      </c>
      <c r="BL19" s="38">
        <f t="shared" si="13"/>
        <v>0</v>
      </c>
      <c r="BM19" s="38">
        <f t="shared" si="14"/>
        <v>0</v>
      </c>
      <c r="BP19" s="38">
        <f t="shared" si="18"/>
        <v>0</v>
      </c>
      <c r="BQ19" s="38">
        <f t="shared" si="19"/>
        <v>0</v>
      </c>
      <c r="BR19" s="38">
        <f t="shared" si="20"/>
        <v>0</v>
      </c>
      <c r="BS19" s="38">
        <f t="shared" si="21"/>
        <v>0</v>
      </c>
      <c r="BT19" s="38">
        <f t="shared" si="15"/>
        <v>0</v>
      </c>
      <c r="BU19" s="38">
        <f t="shared" si="22"/>
        <v>0</v>
      </c>
      <c r="BV19" s="38">
        <f t="shared" si="23"/>
        <v>0</v>
      </c>
      <c r="BW19" s="38">
        <f t="shared" si="16"/>
        <v>0</v>
      </c>
      <c r="BX19" s="38">
        <f t="shared" si="24"/>
        <v>0</v>
      </c>
      <c r="CA19" s="44" t="str">
        <f t="shared" si="25"/>
        <v/>
      </c>
      <c r="CB19" s="44" t="str">
        <f t="shared" si="33"/>
        <v/>
      </c>
      <c r="CC19" s="44" t="str">
        <f t="shared" si="26"/>
        <v xml:space="preserve"> </v>
      </c>
      <c r="CD19" s="44" t="str">
        <f t="shared" si="27"/>
        <v/>
      </c>
      <c r="CE19" s="44" t="str">
        <f t="shared" si="28"/>
        <v/>
      </c>
      <c r="CF19" s="44" t="str">
        <f t="shared" si="29"/>
        <v/>
      </c>
      <c r="CI19" s="44" t="str">
        <f t="shared" si="30"/>
        <v/>
      </c>
      <c r="CJ19" s="44" t="str">
        <f t="shared" si="31"/>
        <v/>
      </c>
      <c r="CK19" s="44" t="str">
        <f t="shared" si="32"/>
        <v/>
      </c>
    </row>
    <row r="20" spans="1:90" ht="18" customHeight="1">
      <c r="A20" s="10">
        <v>13</v>
      </c>
      <c r="B20" s="4"/>
      <c r="C20" s="4"/>
      <c r="D20" s="4"/>
      <c r="E20" s="4"/>
      <c r="F20" s="4"/>
      <c r="G20" s="4"/>
      <c r="H20" s="4"/>
      <c r="I20" s="35"/>
      <c r="J20" s="26" t="str">
        <f t="shared" si="0"/>
        <v/>
      </c>
      <c r="K20" s="4"/>
      <c r="L20" s="27"/>
      <c r="M20" s="28" t="str">
        <f t="shared" si="1"/>
        <v/>
      </c>
      <c r="N20" s="29"/>
      <c r="O20" s="30" t="str">
        <f t="shared" si="2"/>
        <v/>
      </c>
      <c r="P20" s="31"/>
      <c r="Q20" s="4"/>
      <c r="R20" s="27"/>
      <c r="S20" s="28" t="str">
        <f t="shared" si="3"/>
        <v/>
      </c>
      <c r="T20" s="29"/>
      <c r="U20" s="30" t="str">
        <f t="shared" si="4"/>
        <v/>
      </c>
      <c r="V20" s="31"/>
      <c r="W20" s="32"/>
      <c r="X20" s="32"/>
      <c r="AA20" s="41">
        <f t="shared" si="5"/>
        <v>0</v>
      </c>
      <c r="AB20" s="42">
        <f t="shared" si="6"/>
        <v>0</v>
      </c>
      <c r="AC20" s="41">
        <f t="shared" si="7"/>
        <v>0</v>
      </c>
      <c r="AD20" s="42">
        <f t="shared" si="8"/>
        <v>0</v>
      </c>
      <c r="AE20" s="41">
        <f t="shared" si="9"/>
        <v>0</v>
      </c>
      <c r="AJ20" s="38" t="s">
        <v>8</v>
      </c>
      <c r="AO20" s="38">
        <v>511</v>
      </c>
      <c r="AP20" s="38" t="s">
        <v>280</v>
      </c>
      <c r="AQ20" s="38" t="s">
        <v>281</v>
      </c>
      <c r="AR20" s="38" t="s">
        <v>239</v>
      </c>
      <c r="AS20" s="38" t="s">
        <v>233</v>
      </c>
      <c r="AT20" s="38" t="s">
        <v>240</v>
      </c>
      <c r="AU20" s="38" t="s">
        <v>235</v>
      </c>
      <c r="AV20" s="38" t="s">
        <v>234</v>
      </c>
      <c r="AY20" s="38" t="s">
        <v>128</v>
      </c>
      <c r="AZ20" s="38">
        <v>71</v>
      </c>
      <c r="BA20" s="38">
        <v>5</v>
      </c>
      <c r="BB20" s="38" t="s">
        <v>129</v>
      </c>
      <c r="BC20" s="43">
        <v>74</v>
      </c>
      <c r="BH20" s="38">
        <f t="shared" si="10"/>
        <v>0</v>
      </c>
      <c r="BI20" s="38">
        <f t="shared" si="11"/>
        <v>0</v>
      </c>
      <c r="BJ20" s="38" t="str">
        <f t="shared" si="17"/>
        <v/>
      </c>
      <c r="BK20" s="38">
        <f t="shared" si="12"/>
        <v>0</v>
      </c>
      <c r="BL20" s="38">
        <f t="shared" si="13"/>
        <v>0</v>
      </c>
      <c r="BM20" s="38">
        <f t="shared" si="14"/>
        <v>0</v>
      </c>
      <c r="BP20" s="38">
        <f t="shared" si="18"/>
        <v>0</v>
      </c>
      <c r="BQ20" s="38">
        <f t="shared" si="19"/>
        <v>0</v>
      </c>
      <c r="BR20" s="38">
        <f t="shared" si="20"/>
        <v>0</v>
      </c>
      <c r="BS20" s="38">
        <f t="shared" si="21"/>
        <v>0</v>
      </c>
      <c r="BT20" s="38">
        <f t="shared" si="15"/>
        <v>0</v>
      </c>
      <c r="BU20" s="38">
        <f t="shared" si="22"/>
        <v>0</v>
      </c>
      <c r="BV20" s="38">
        <f t="shared" si="23"/>
        <v>0</v>
      </c>
      <c r="BW20" s="38">
        <f t="shared" si="16"/>
        <v>0</v>
      </c>
      <c r="BX20" s="38">
        <f t="shared" si="24"/>
        <v>0</v>
      </c>
      <c r="CA20" s="44" t="str">
        <f t="shared" si="25"/>
        <v/>
      </c>
      <c r="CB20" s="44" t="str">
        <f t="shared" si="33"/>
        <v/>
      </c>
      <c r="CC20" s="44" t="str">
        <f t="shared" si="26"/>
        <v xml:space="preserve"> </v>
      </c>
      <c r="CD20" s="44" t="str">
        <f t="shared" si="27"/>
        <v/>
      </c>
      <c r="CE20" s="44" t="str">
        <f t="shared" si="28"/>
        <v/>
      </c>
      <c r="CF20" s="44" t="str">
        <f t="shared" si="29"/>
        <v/>
      </c>
      <c r="CI20" s="44" t="str">
        <f t="shared" si="30"/>
        <v/>
      </c>
      <c r="CJ20" s="44" t="str">
        <f t="shared" si="31"/>
        <v/>
      </c>
      <c r="CK20" s="44" t="str">
        <f t="shared" si="32"/>
        <v/>
      </c>
    </row>
    <row r="21" spans="1:90" ht="18" customHeight="1">
      <c r="A21" s="10">
        <v>14</v>
      </c>
      <c r="B21" s="4"/>
      <c r="C21" s="4"/>
      <c r="D21" s="4"/>
      <c r="E21" s="4"/>
      <c r="F21" s="4"/>
      <c r="G21" s="4"/>
      <c r="H21" s="4"/>
      <c r="I21" s="35"/>
      <c r="J21" s="26" t="str">
        <f t="shared" si="0"/>
        <v/>
      </c>
      <c r="K21" s="4"/>
      <c r="L21" s="27"/>
      <c r="M21" s="28" t="str">
        <f t="shared" si="1"/>
        <v/>
      </c>
      <c r="N21" s="29"/>
      <c r="O21" s="30" t="str">
        <f t="shared" si="2"/>
        <v/>
      </c>
      <c r="P21" s="31"/>
      <c r="Q21" s="4"/>
      <c r="R21" s="27"/>
      <c r="S21" s="28" t="str">
        <f t="shared" si="3"/>
        <v/>
      </c>
      <c r="T21" s="29"/>
      <c r="U21" s="30" t="str">
        <f t="shared" si="4"/>
        <v/>
      </c>
      <c r="V21" s="31"/>
      <c r="W21" s="32"/>
      <c r="X21" s="32"/>
      <c r="AA21" s="41">
        <f t="shared" si="5"/>
        <v>0</v>
      </c>
      <c r="AB21" s="42">
        <f t="shared" si="6"/>
        <v>0</v>
      </c>
      <c r="AC21" s="41">
        <f t="shared" si="7"/>
        <v>0</v>
      </c>
      <c r="AD21" s="42">
        <f t="shared" si="8"/>
        <v>0</v>
      </c>
      <c r="AE21" s="41">
        <f t="shared" si="9"/>
        <v>0</v>
      </c>
      <c r="AJ21" s="38" t="s">
        <v>9</v>
      </c>
      <c r="AO21" s="38">
        <v>512</v>
      </c>
      <c r="AP21" s="38" t="s">
        <v>282</v>
      </c>
      <c r="AQ21" s="38" t="s">
        <v>283</v>
      </c>
      <c r="AR21" s="38" t="s">
        <v>241</v>
      </c>
      <c r="AS21" s="38" t="s">
        <v>284</v>
      </c>
      <c r="AT21" s="38" t="s">
        <v>285</v>
      </c>
      <c r="AU21" s="38" t="s">
        <v>223</v>
      </c>
      <c r="AV21" s="38" t="s">
        <v>224</v>
      </c>
      <c r="AY21" s="38" t="s">
        <v>183</v>
      </c>
      <c r="AZ21" s="38">
        <v>73</v>
      </c>
      <c r="BA21" s="38">
        <v>5</v>
      </c>
      <c r="BB21" s="38" t="s">
        <v>130</v>
      </c>
      <c r="BC21" s="43">
        <v>82</v>
      </c>
      <c r="BH21" s="38">
        <f t="shared" si="10"/>
        <v>0</v>
      </c>
      <c r="BI21" s="38">
        <f t="shared" si="11"/>
        <v>0</v>
      </c>
      <c r="BJ21" s="38" t="str">
        <f t="shared" si="17"/>
        <v/>
      </c>
      <c r="BK21" s="38">
        <f t="shared" si="12"/>
        <v>0</v>
      </c>
      <c r="BL21" s="38">
        <f t="shared" si="13"/>
        <v>0</v>
      </c>
      <c r="BM21" s="38">
        <f t="shared" si="14"/>
        <v>0</v>
      </c>
      <c r="BP21" s="38">
        <f t="shared" si="18"/>
        <v>0</v>
      </c>
      <c r="BQ21" s="38">
        <f t="shared" si="19"/>
        <v>0</v>
      </c>
      <c r="BR21" s="38">
        <f t="shared" si="20"/>
        <v>0</v>
      </c>
      <c r="BS21" s="38">
        <f t="shared" si="21"/>
        <v>0</v>
      </c>
      <c r="BT21" s="38">
        <f t="shared" si="15"/>
        <v>0</v>
      </c>
      <c r="BU21" s="38">
        <f t="shared" si="22"/>
        <v>0</v>
      </c>
      <c r="BV21" s="38">
        <f t="shared" si="23"/>
        <v>0</v>
      </c>
      <c r="BW21" s="38">
        <f t="shared" si="16"/>
        <v>0</v>
      </c>
      <c r="BX21" s="38">
        <f t="shared" si="24"/>
        <v>0</v>
      </c>
      <c r="CA21" s="44" t="str">
        <f t="shared" si="25"/>
        <v/>
      </c>
      <c r="CB21" s="44" t="str">
        <f t="shared" si="33"/>
        <v/>
      </c>
      <c r="CC21" s="44" t="str">
        <f t="shared" si="26"/>
        <v xml:space="preserve"> </v>
      </c>
      <c r="CD21" s="44" t="str">
        <f t="shared" si="27"/>
        <v/>
      </c>
      <c r="CE21" s="44" t="str">
        <f t="shared" si="28"/>
        <v/>
      </c>
      <c r="CF21" s="44" t="str">
        <f t="shared" si="29"/>
        <v/>
      </c>
      <c r="CI21" s="44" t="str">
        <f t="shared" si="30"/>
        <v/>
      </c>
      <c r="CJ21" s="44" t="str">
        <f t="shared" si="31"/>
        <v/>
      </c>
      <c r="CK21" s="44" t="str">
        <f t="shared" si="32"/>
        <v/>
      </c>
    </row>
    <row r="22" spans="1:90" ht="18" customHeight="1">
      <c r="A22" s="10">
        <v>15</v>
      </c>
      <c r="B22" s="4"/>
      <c r="C22" s="4"/>
      <c r="D22" s="4"/>
      <c r="E22" s="4"/>
      <c r="F22" s="4"/>
      <c r="G22" s="4"/>
      <c r="H22" s="4"/>
      <c r="I22" s="35"/>
      <c r="J22" s="26" t="str">
        <f t="shared" si="0"/>
        <v/>
      </c>
      <c r="K22" s="4"/>
      <c r="L22" s="27"/>
      <c r="M22" s="28" t="str">
        <f t="shared" si="1"/>
        <v/>
      </c>
      <c r="N22" s="29"/>
      <c r="O22" s="30" t="str">
        <f t="shared" si="2"/>
        <v/>
      </c>
      <c r="P22" s="31"/>
      <c r="Q22" s="4"/>
      <c r="R22" s="27"/>
      <c r="S22" s="28" t="str">
        <f t="shared" si="3"/>
        <v/>
      </c>
      <c r="T22" s="29"/>
      <c r="U22" s="30" t="str">
        <f t="shared" si="4"/>
        <v/>
      </c>
      <c r="V22" s="31"/>
      <c r="W22" s="32"/>
      <c r="X22" s="32"/>
      <c r="AA22" s="41">
        <f t="shared" si="5"/>
        <v>0</v>
      </c>
      <c r="AB22" s="42">
        <f t="shared" si="6"/>
        <v>0</v>
      </c>
      <c r="AC22" s="41">
        <f t="shared" si="7"/>
        <v>0</v>
      </c>
      <c r="AD22" s="42">
        <f t="shared" si="8"/>
        <v>0</v>
      </c>
      <c r="AE22" s="41">
        <f t="shared" si="9"/>
        <v>0</v>
      </c>
      <c r="AJ22" s="38" t="s">
        <v>10</v>
      </c>
      <c r="AO22" s="38">
        <v>513</v>
      </c>
      <c r="AP22" s="38" t="s">
        <v>286</v>
      </c>
      <c r="AQ22" s="38" t="s">
        <v>287</v>
      </c>
      <c r="AR22" s="38" t="s">
        <v>247</v>
      </c>
      <c r="AS22" s="38" t="s">
        <v>81</v>
      </c>
      <c r="AT22" s="38" t="s">
        <v>82</v>
      </c>
      <c r="AU22" s="38" t="s">
        <v>83</v>
      </c>
      <c r="AV22" s="38" t="s">
        <v>84</v>
      </c>
      <c r="AY22" s="38" t="s">
        <v>129</v>
      </c>
      <c r="AZ22" s="38">
        <v>74</v>
      </c>
      <c r="BA22" s="38">
        <v>5</v>
      </c>
      <c r="BB22" s="38" t="s">
        <v>131</v>
      </c>
      <c r="BC22" s="43">
        <v>87</v>
      </c>
      <c r="BH22" s="38">
        <f t="shared" si="10"/>
        <v>0</v>
      </c>
      <c r="BI22" s="38">
        <f t="shared" si="11"/>
        <v>0</v>
      </c>
      <c r="BJ22" s="38" t="str">
        <f t="shared" si="17"/>
        <v/>
      </c>
      <c r="BK22" s="38">
        <f t="shared" si="12"/>
        <v>0</v>
      </c>
      <c r="BL22" s="38">
        <f t="shared" si="13"/>
        <v>0</v>
      </c>
      <c r="BM22" s="38">
        <f t="shared" si="14"/>
        <v>0</v>
      </c>
      <c r="BP22" s="38">
        <f t="shared" si="18"/>
        <v>0</v>
      </c>
      <c r="BQ22" s="38">
        <f t="shared" si="19"/>
        <v>0</v>
      </c>
      <c r="BR22" s="38">
        <f t="shared" si="20"/>
        <v>0</v>
      </c>
      <c r="BS22" s="38">
        <f t="shared" si="21"/>
        <v>0</v>
      </c>
      <c r="BT22" s="38">
        <f t="shared" si="15"/>
        <v>0</v>
      </c>
      <c r="BU22" s="38">
        <f t="shared" si="22"/>
        <v>0</v>
      </c>
      <c r="BV22" s="38">
        <f t="shared" si="23"/>
        <v>0</v>
      </c>
      <c r="BW22" s="38">
        <f t="shared" si="16"/>
        <v>0</v>
      </c>
      <c r="BX22" s="38">
        <f t="shared" si="24"/>
        <v>0</v>
      </c>
      <c r="CA22" s="44" t="str">
        <f t="shared" si="25"/>
        <v/>
      </c>
      <c r="CB22" s="44" t="str">
        <f t="shared" si="33"/>
        <v/>
      </c>
      <c r="CC22" s="44" t="str">
        <f t="shared" si="26"/>
        <v xml:space="preserve"> </v>
      </c>
      <c r="CD22" s="44" t="str">
        <f t="shared" si="27"/>
        <v/>
      </c>
      <c r="CE22" s="44" t="str">
        <f t="shared" si="28"/>
        <v/>
      </c>
      <c r="CF22" s="44" t="str">
        <f t="shared" si="29"/>
        <v/>
      </c>
      <c r="CI22" s="44" t="str">
        <f t="shared" si="30"/>
        <v/>
      </c>
      <c r="CJ22" s="44" t="str">
        <f t="shared" si="31"/>
        <v/>
      </c>
      <c r="CK22" s="44" t="str">
        <f t="shared" si="32"/>
        <v/>
      </c>
    </row>
    <row r="23" spans="1:90" ht="18" customHeight="1">
      <c r="A23" s="10">
        <v>16</v>
      </c>
      <c r="B23" s="4"/>
      <c r="C23" s="4"/>
      <c r="D23" s="4"/>
      <c r="E23" s="4"/>
      <c r="F23" s="4"/>
      <c r="G23" s="4"/>
      <c r="H23" s="4"/>
      <c r="I23" s="35"/>
      <c r="J23" s="26" t="str">
        <f t="shared" si="0"/>
        <v/>
      </c>
      <c r="K23" s="4"/>
      <c r="L23" s="27"/>
      <c r="M23" s="28" t="str">
        <f t="shared" si="1"/>
        <v/>
      </c>
      <c r="N23" s="29"/>
      <c r="O23" s="30" t="str">
        <f t="shared" si="2"/>
        <v/>
      </c>
      <c r="P23" s="31"/>
      <c r="Q23" s="4"/>
      <c r="R23" s="27"/>
      <c r="S23" s="28" t="str">
        <f t="shared" si="3"/>
        <v/>
      </c>
      <c r="T23" s="29"/>
      <c r="U23" s="30" t="str">
        <f t="shared" si="4"/>
        <v/>
      </c>
      <c r="V23" s="31"/>
      <c r="W23" s="32"/>
      <c r="X23" s="32"/>
      <c r="AA23" s="41">
        <f t="shared" si="5"/>
        <v>0</v>
      </c>
      <c r="AB23" s="42">
        <f t="shared" si="6"/>
        <v>0</v>
      </c>
      <c r="AC23" s="41">
        <f t="shared" si="7"/>
        <v>0</v>
      </c>
      <c r="AD23" s="42">
        <f t="shared" si="8"/>
        <v>0</v>
      </c>
      <c r="AE23" s="41">
        <f t="shared" si="9"/>
        <v>0</v>
      </c>
      <c r="AO23" s="38">
        <v>514</v>
      </c>
      <c r="AP23" s="38" t="s">
        <v>288</v>
      </c>
      <c r="AQ23" s="38" t="s">
        <v>289</v>
      </c>
      <c r="AR23" s="38" t="s">
        <v>246</v>
      </c>
      <c r="AS23" s="38" t="s">
        <v>290</v>
      </c>
      <c r="AT23" s="38" t="s">
        <v>291</v>
      </c>
      <c r="AU23" s="38" t="s">
        <v>292</v>
      </c>
      <c r="AV23" s="38" t="s">
        <v>275</v>
      </c>
      <c r="AY23" s="38" t="s">
        <v>130</v>
      </c>
      <c r="AZ23" s="38">
        <v>82</v>
      </c>
      <c r="BA23" s="38">
        <v>5</v>
      </c>
      <c r="BB23" s="38">
        <v>100</v>
      </c>
      <c r="BC23" s="43">
        <v>2</v>
      </c>
      <c r="BH23" s="38">
        <f t="shared" si="10"/>
        <v>0</v>
      </c>
      <c r="BI23" s="38">
        <f t="shared" si="11"/>
        <v>0</v>
      </c>
      <c r="BJ23" s="38" t="str">
        <f t="shared" si="17"/>
        <v/>
      </c>
      <c r="BK23" s="38">
        <f t="shared" si="12"/>
        <v>0</v>
      </c>
      <c r="BL23" s="38">
        <f t="shared" si="13"/>
        <v>0</v>
      </c>
      <c r="BM23" s="38">
        <f t="shared" si="14"/>
        <v>0</v>
      </c>
      <c r="BP23" s="38">
        <f t="shared" si="18"/>
        <v>0</v>
      </c>
      <c r="BQ23" s="38">
        <f t="shared" si="19"/>
        <v>0</v>
      </c>
      <c r="BR23" s="38">
        <f t="shared" si="20"/>
        <v>0</v>
      </c>
      <c r="BS23" s="38">
        <f t="shared" si="21"/>
        <v>0</v>
      </c>
      <c r="BT23" s="38">
        <f t="shared" si="15"/>
        <v>0</v>
      </c>
      <c r="BU23" s="38">
        <f t="shared" si="22"/>
        <v>0</v>
      </c>
      <c r="BV23" s="38">
        <f t="shared" si="23"/>
        <v>0</v>
      </c>
      <c r="BW23" s="38">
        <f t="shared" si="16"/>
        <v>0</v>
      </c>
      <c r="BX23" s="38">
        <f t="shared" si="24"/>
        <v>0</v>
      </c>
      <c r="CA23" s="44" t="str">
        <f t="shared" si="25"/>
        <v/>
      </c>
      <c r="CB23" s="44" t="str">
        <f t="shared" si="33"/>
        <v/>
      </c>
      <c r="CC23" s="44" t="str">
        <f t="shared" si="26"/>
        <v xml:space="preserve"> </v>
      </c>
      <c r="CD23" s="44" t="str">
        <f t="shared" si="27"/>
        <v/>
      </c>
      <c r="CE23" s="44" t="str">
        <f t="shared" si="28"/>
        <v/>
      </c>
      <c r="CF23" s="44" t="str">
        <f t="shared" si="29"/>
        <v/>
      </c>
      <c r="CI23" s="44" t="str">
        <f t="shared" si="30"/>
        <v/>
      </c>
      <c r="CJ23" s="44" t="str">
        <f t="shared" si="31"/>
        <v/>
      </c>
      <c r="CK23" s="44" t="str">
        <f t="shared" si="32"/>
        <v/>
      </c>
    </row>
    <row r="24" spans="1:90" ht="18" customHeight="1">
      <c r="A24" s="10">
        <v>17</v>
      </c>
      <c r="B24" s="4"/>
      <c r="C24" s="4"/>
      <c r="D24" s="4"/>
      <c r="E24" s="4"/>
      <c r="F24" s="4"/>
      <c r="G24" s="4"/>
      <c r="H24" s="4"/>
      <c r="I24" s="35"/>
      <c r="J24" s="26" t="str">
        <f t="shared" si="0"/>
        <v/>
      </c>
      <c r="K24" s="4"/>
      <c r="L24" s="27"/>
      <c r="M24" s="28" t="str">
        <f t="shared" si="1"/>
        <v/>
      </c>
      <c r="N24" s="29"/>
      <c r="O24" s="30" t="str">
        <f t="shared" si="2"/>
        <v/>
      </c>
      <c r="P24" s="31"/>
      <c r="Q24" s="4"/>
      <c r="R24" s="27"/>
      <c r="S24" s="28" t="str">
        <f t="shared" si="3"/>
        <v/>
      </c>
      <c r="T24" s="29"/>
      <c r="U24" s="30" t="str">
        <f t="shared" si="4"/>
        <v/>
      </c>
      <c r="V24" s="31"/>
      <c r="W24" s="32"/>
      <c r="X24" s="32"/>
      <c r="AA24" s="41">
        <f t="shared" si="5"/>
        <v>0</v>
      </c>
      <c r="AB24" s="42">
        <f t="shared" si="6"/>
        <v>0</v>
      </c>
      <c r="AC24" s="41">
        <f t="shared" si="7"/>
        <v>0</v>
      </c>
      <c r="AD24" s="42">
        <f t="shared" si="8"/>
        <v>0</v>
      </c>
      <c r="AE24" s="41">
        <f t="shared" si="9"/>
        <v>0</v>
      </c>
      <c r="AO24" s="38">
        <v>515</v>
      </c>
      <c r="AP24" s="38" t="s">
        <v>293</v>
      </c>
      <c r="AQ24" s="38" t="s">
        <v>294</v>
      </c>
      <c r="AR24" s="38" t="s">
        <v>295</v>
      </c>
      <c r="AS24" s="38" t="s">
        <v>20</v>
      </c>
      <c r="AT24" s="38" t="s">
        <v>296</v>
      </c>
      <c r="AU24" s="38" t="s">
        <v>221</v>
      </c>
      <c r="AV24" s="38" t="s">
        <v>222</v>
      </c>
      <c r="AY24" s="38" t="s">
        <v>131</v>
      </c>
      <c r="AZ24" s="38">
        <v>88</v>
      </c>
      <c r="BA24" s="38">
        <v>5</v>
      </c>
      <c r="BB24" s="38">
        <v>200</v>
      </c>
      <c r="BC24" s="43">
        <v>3</v>
      </c>
      <c r="BH24" s="38">
        <f t="shared" si="10"/>
        <v>0</v>
      </c>
      <c r="BI24" s="38">
        <f t="shared" si="11"/>
        <v>0</v>
      </c>
      <c r="BJ24" s="38" t="str">
        <f t="shared" si="17"/>
        <v/>
      </c>
      <c r="BK24" s="38">
        <f t="shared" si="12"/>
        <v>0</v>
      </c>
      <c r="BL24" s="38">
        <f t="shared" si="13"/>
        <v>0</v>
      </c>
      <c r="BM24" s="38">
        <f t="shared" si="14"/>
        <v>0</v>
      </c>
      <c r="BP24" s="38">
        <f t="shared" si="18"/>
        <v>0</v>
      </c>
      <c r="BQ24" s="38">
        <f t="shared" si="19"/>
        <v>0</v>
      </c>
      <c r="BR24" s="38">
        <f t="shared" si="20"/>
        <v>0</v>
      </c>
      <c r="BS24" s="38">
        <f t="shared" si="21"/>
        <v>0</v>
      </c>
      <c r="BT24" s="38">
        <f t="shared" si="15"/>
        <v>0</v>
      </c>
      <c r="BU24" s="38">
        <f t="shared" si="22"/>
        <v>0</v>
      </c>
      <c r="BV24" s="38">
        <f t="shared" si="23"/>
        <v>0</v>
      </c>
      <c r="BW24" s="38">
        <f t="shared" si="16"/>
        <v>0</v>
      </c>
      <c r="BX24" s="38">
        <f t="shared" si="24"/>
        <v>0</v>
      </c>
      <c r="CA24" s="44" t="str">
        <f t="shared" si="25"/>
        <v/>
      </c>
      <c r="CB24" s="44" t="str">
        <f t="shared" si="33"/>
        <v/>
      </c>
      <c r="CC24" s="44" t="str">
        <f t="shared" si="26"/>
        <v xml:space="preserve"> </v>
      </c>
      <c r="CD24" s="44" t="str">
        <f t="shared" si="27"/>
        <v/>
      </c>
      <c r="CE24" s="44" t="str">
        <f t="shared" si="28"/>
        <v/>
      </c>
      <c r="CF24" s="44" t="str">
        <f t="shared" si="29"/>
        <v/>
      </c>
      <c r="CI24" s="44" t="str">
        <f t="shared" si="30"/>
        <v/>
      </c>
      <c r="CJ24" s="44" t="str">
        <f t="shared" si="31"/>
        <v/>
      </c>
      <c r="CK24" s="44" t="str">
        <f t="shared" si="32"/>
        <v/>
      </c>
    </row>
    <row r="25" spans="1:90" ht="18" customHeight="1">
      <c r="A25" s="10">
        <v>18</v>
      </c>
      <c r="B25" s="4"/>
      <c r="C25" s="4"/>
      <c r="D25" s="4"/>
      <c r="E25" s="4"/>
      <c r="F25" s="4"/>
      <c r="G25" s="4"/>
      <c r="H25" s="4"/>
      <c r="I25" s="35"/>
      <c r="J25" s="26" t="str">
        <f t="shared" si="0"/>
        <v/>
      </c>
      <c r="K25" s="4"/>
      <c r="L25" s="27"/>
      <c r="M25" s="28" t="str">
        <f t="shared" si="1"/>
        <v/>
      </c>
      <c r="N25" s="29"/>
      <c r="O25" s="30" t="str">
        <f t="shared" si="2"/>
        <v/>
      </c>
      <c r="P25" s="31"/>
      <c r="Q25" s="4"/>
      <c r="R25" s="27"/>
      <c r="S25" s="28" t="str">
        <f t="shared" si="3"/>
        <v/>
      </c>
      <c r="T25" s="29"/>
      <c r="U25" s="30" t="str">
        <f t="shared" si="4"/>
        <v/>
      </c>
      <c r="V25" s="31"/>
      <c r="W25" s="32"/>
      <c r="X25" s="32"/>
      <c r="AA25" s="41">
        <f t="shared" si="5"/>
        <v>0</v>
      </c>
      <c r="AB25" s="42">
        <f t="shared" si="6"/>
        <v>0</v>
      </c>
      <c r="AC25" s="41">
        <f t="shared" si="7"/>
        <v>0</v>
      </c>
      <c r="AD25" s="42">
        <f t="shared" si="8"/>
        <v>0</v>
      </c>
      <c r="AE25" s="41">
        <f t="shared" si="9"/>
        <v>0</v>
      </c>
      <c r="AO25" s="38">
        <v>516</v>
      </c>
      <c r="AP25" s="38" t="s">
        <v>297</v>
      </c>
      <c r="AQ25" s="38" t="s">
        <v>298</v>
      </c>
      <c r="AR25" s="38" t="s">
        <v>245</v>
      </c>
      <c r="AS25" s="38" t="s">
        <v>299</v>
      </c>
      <c r="AT25" s="38" t="s">
        <v>300</v>
      </c>
      <c r="AU25" s="38" t="s">
        <v>301</v>
      </c>
      <c r="AV25" s="38" t="s">
        <v>275</v>
      </c>
      <c r="BB25" s="38">
        <v>400</v>
      </c>
      <c r="BC25" s="43">
        <v>5</v>
      </c>
      <c r="BH25" s="38">
        <f t="shared" si="10"/>
        <v>0</v>
      </c>
      <c r="BI25" s="38">
        <f t="shared" si="11"/>
        <v>0</v>
      </c>
      <c r="BJ25" s="38" t="str">
        <f t="shared" si="17"/>
        <v/>
      </c>
      <c r="BK25" s="38">
        <f t="shared" si="12"/>
        <v>0</v>
      </c>
      <c r="BL25" s="38">
        <f t="shared" si="13"/>
        <v>0</v>
      </c>
      <c r="BM25" s="38">
        <f t="shared" si="14"/>
        <v>0</v>
      </c>
      <c r="BP25" s="38">
        <f t="shared" si="18"/>
        <v>0</v>
      </c>
      <c r="BQ25" s="38">
        <f t="shared" si="19"/>
        <v>0</v>
      </c>
      <c r="BR25" s="38">
        <f t="shared" si="20"/>
        <v>0</v>
      </c>
      <c r="BS25" s="38">
        <f t="shared" si="21"/>
        <v>0</v>
      </c>
      <c r="BT25" s="38">
        <f t="shared" si="15"/>
        <v>0</v>
      </c>
      <c r="BU25" s="38">
        <f t="shared" si="22"/>
        <v>0</v>
      </c>
      <c r="BV25" s="38">
        <f t="shared" si="23"/>
        <v>0</v>
      </c>
      <c r="BW25" s="38">
        <f t="shared" si="16"/>
        <v>0</v>
      </c>
      <c r="BX25" s="38">
        <f t="shared" si="24"/>
        <v>0</v>
      </c>
      <c r="CA25" s="44" t="str">
        <f t="shared" si="25"/>
        <v/>
      </c>
      <c r="CB25" s="44" t="str">
        <f t="shared" si="33"/>
        <v/>
      </c>
      <c r="CC25" s="44" t="str">
        <f t="shared" si="26"/>
        <v xml:space="preserve"> </v>
      </c>
      <c r="CD25" s="44" t="str">
        <f t="shared" si="27"/>
        <v/>
      </c>
      <c r="CE25" s="44" t="str">
        <f t="shared" si="28"/>
        <v/>
      </c>
      <c r="CF25" s="44" t="str">
        <f t="shared" si="29"/>
        <v/>
      </c>
      <c r="CI25" s="44" t="str">
        <f t="shared" si="30"/>
        <v/>
      </c>
      <c r="CJ25" s="44" t="str">
        <f t="shared" si="31"/>
        <v/>
      </c>
      <c r="CK25" s="44" t="str">
        <f t="shared" si="32"/>
        <v/>
      </c>
    </row>
    <row r="26" spans="1:90" ht="18" customHeight="1">
      <c r="A26" s="10">
        <v>19</v>
      </c>
      <c r="B26" s="4"/>
      <c r="C26" s="4"/>
      <c r="D26" s="4"/>
      <c r="E26" s="4"/>
      <c r="F26" s="4"/>
      <c r="G26" s="4"/>
      <c r="H26" s="4"/>
      <c r="I26" s="35"/>
      <c r="J26" s="26" t="str">
        <f t="shared" si="0"/>
        <v/>
      </c>
      <c r="K26" s="4"/>
      <c r="L26" s="27"/>
      <c r="M26" s="28" t="str">
        <f t="shared" si="1"/>
        <v/>
      </c>
      <c r="N26" s="29"/>
      <c r="O26" s="30" t="str">
        <f t="shared" si="2"/>
        <v/>
      </c>
      <c r="P26" s="31"/>
      <c r="Q26" s="4"/>
      <c r="R26" s="27"/>
      <c r="S26" s="28" t="str">
        <f t="shared" si="3"/>
        <v/>
      </c>
      <c r="T26" s="29"/>
      <c r="U26" s="30" t="str">
        <f t="shared" si="4"/>
        <v/>
      </c>
      <c r="V26" s="31"/>
      <c r="W26" s="32"/>
      <c r="X26" s="32"/>
      <c r="AA26" s="41">
        <f t="shared" si="5"/>
        <v>0</v>
      </c>
      <c r="AB26" s="42">
        <f t="shared" si="6"/>
        <v>0</v>
      </c>
      <c r="AC26" s="41">
        <f t="shared" si="7"/>
        <v>0</v>
      </c>
      <c r="AD26" s="42">
        <f t="shared" si="8"/>
        <v>0</v>
      </c>
      <c r="AE26" s="41">
        <f t="shared" si="9"/>
        <v>0</v>
      </c>
      <c r="AO26" s="38">
        <v>517</v>
      </c>
      <c r="AP26" s="38" t="s">
        <v>62</v>
      </c>
      <c r="AQ26" s="38" t="s">
        <v>302</v>
      </c>
      <c r="AR26" s="38" t="s">
        <v>303</v>
      </c>
      <c r="AS26" s="38" t="s">
        <v>63</v>
      </c>
      <c r="AT26" s="38" t="s">
        <v>64</v>
      </c>
      <c r="AU26" s="38" t="s">
        <v>65</v>
      </c>
      <c r="AV26" s="38" t="s">
        <v>66</v>
      </c>
      <c r="BB26" s="38">
        <v>800</v>
      </c>
      <c r="BC26" s="43">
        <v>6</v>
      </c>
      <c r="BH26" s="38">
        <f t="shared" si="10"/>
        <v>0</v>
      </c>
      <c r="BI26" s="38">
        <f t="shared" si="11"/>
        <v>0</v>
      </c>
      <c r="BJ26" s="38" t="str">
        <f t="shared" si="17"/>
        <v/>
      </c>
      <c r="BK26" s="38">
        <f t="shared" si="12"/>
        <v>0</v>
      </c>
      <c r="BL26" s="38">
        <f t="shared" si="13"/>
        <v>0</v>
      </c>
      <c r="BM26" s="38">
        <f t="shared" si="14"/>
        <v>0</v>
      </c>
      <c r="BP26" s="38">
        <f t="shared" si="18"/>
        <v>0</v>
      </c>
      <c r="BQ26" s="38">
        <f t="shared" si="19"/>
        <v>0</v>
      </c>
      <c r="BR26" s="38">
        <f t="shared" si="20"/>
        <v>0</v>
      </c>
      <c r="BS26" s="38">
        <f t="shared" si="21"/>
        <v>0</v>
      </c>
      <c r="BT26" s="38">
        <f t="shared" si="15"/>
        <v>0</v>
      </c>
      <c r="BU26" s="38">
        <f t="shared" si="22"/>
        <v>0</v>
      </c>
      <c r="BV26" s="38">
        <f t="shared" si="23"/>
        <v>0</v>
      </c>
      <c r="BW26" s="38">
        <f t="shared" si="16"/>
        <v>0</v>
      </c>
      <c r="BX26" s="38">
        <f t="shared" si="24"/>
        <v>0</v>
      </c>
      <c r="CA26" s="44" t="str">
        <f t="shared" si="25"/>
        <v/>
      </c>
      <c r="CB26" s="44" t="str">
        <f t="shared" si="33"/>
        <v/>
      </c>
      <c r="CC26" s="44" t="str">
        <f t="shared" si="26"/>
        <v xml:space="preserve"> </v>
      </c>
      <c r="CD26" s="44" t="str">
        <f t="shared" si="27"/>
        <v/>
      </c>
      <c r="CE26" s="44" t="str">
        <f t="shared" si="28"/>
        <v/>
      </c>
      <c r="CF26" s="44" t="str">
        <f t="shared" si="29"/>
        <v/>
      </c>
      <c r="CI26" s="44" t="str">
        <f t="shared" si="30"/>
        <v/>
      </c>
      <c r="CJ26" s="44" t="str">
        <f t="shared" si="31"/>
        <v/>
      </c>
      <c r="CK26" s="44" t="str">
        <f t="shared" si="32"/>
        <v/>
      </c>
    </row>
    <row r="27" spans="1:90" ht="18" customHeight="1">
      <c r="A27" s="10">
        <v>20</v>
      </c>
      <c r="B27" s="4"/>
      <c r="C27" s="4"/>
      <c r="D27" s="4"/>
      <c r="E27" s="4"/>
      <c r="F27" s="4"/>
      <c r="G27" s="4"/>
      <c r="H27" s="4"/>
      <c r="I27" s="35"/>
      <c r="J27" s="26" t="str">
        <f t="shared" si="0"/>
        <v/>
      </c>
      <c r="K27" s="4"/>
      <c r="L27" s="27"/>
      <c r="M27" s="28" t="str">
        <f t="shared" si="1"/>
        <v/>
      </c>
      <c r="N27" s="29"/>
      <c r="O27" s="30" t="str">
        <f t="shared" si="2"/>
        <v/>
      </c>
      <c r="P27" s="31"/>
      <c r="Q27" s="4"/>
      <c r="R27" s="27"/>
      <c r="S27" s="28" t="str">
        <f t="shared" si="3"/>
        <v/>
      </c>
      <c r="T27" s="29"/>
      <c r="U27" s="30" t="str">
        <f t="shared" si="4"/>
        <v/>
      </c>
      <c r="V27" s="31"/>
      <c r="W27" s="32"/>
      <c r="X27" s="32"/>
      <c r="AA27" s="41">
        <f t="shared" si="5"/>
        <v>0</v>
      </c>
      <c r="AB27" s="42">
        <f t="shared" si="6"/>
        <v>0</v>
      </c>
      <c r="AC27" s="41">
        <f t="shared" si="7"/>
        <v>0</v>
      </c>
      <c r="AD27" s="42">
        <f t="shared" si="8"/>
        <v>0</v>
      </c>
      <c r="AE27" s="41">
        <f t="shared" si="9"/>
        <v>0</v>
      </c>
      <c r="AO27" s="38">
        <v>518</v>
      </c>
      <c r="AP27" s="38" t="s">
        <v>396</v>
      </c>
      <c r="AQ27" s="38" t="s">
        <v>304</v>
      </c>
      <c r="AR27" s="38" t="s">
        <v>77</v>
      </c>
      <c r="AS27" s="38" t="s">
        <v>78</v>
      </c>
      <c r="AT27" s="38" t="s">
        <v>305</v>
      </c>
      <c r="AU27" s="38" t="s">
        <v>79</v>
      </c>
      <c r="AV27" s="38" t="s">
        <v>80</v>
      </c>
      <c r="BB27" s="38">
        <v>3000</v>
      </c>
      <c r="BC27" s="43">
        <v>10</v>
      </c>
      <c r="BH27" s="38">
        <f t="shared" si="10"/>
        <v>0</v>
      </c>
      <c r="BI27" s="38">
        <f t="shared" si="11"/>
        <v>0</v>
      </c>
      <c r="BJ27" s="38" t="str">
        <f t="shared" si="17"/>
        <v/>
      </c>
      <c r="BK27" s="38">
        <f t="shared" si="12"/>
        <v>0</v>
      </c>
      <c r="BL27" s="38">
        <f t="shared" si="13"/>
        <v>0</v>
      </c>
      <c r="BM27" s="38">
        <f t="shared" si="14"/>
        <v>0</v>
      </c>
      <c r="BP27" s="38">
        <f t="shared" si="18"/>
        <v>0</v>
      </c>
      <c r="BQ27" s="38">
        <f t="shared" si="19"/>
        <v>0</v>
      </c>
      <c r="BR27" s="38">
        <f t="shared" si="20"/>
        <v>0</v>
      </c>
      <c r="BS27" s="38">
        <f t="shared" si="21"/>
        <v>0</v>
      </c>
      <c r="BT27" s="38">
        <f t="shared" si="15"/>
        <v>0</v>
      </c>
      <c r="BU27" s="38">
        <f t="shared" si="22"/>
        <v>0</v>
      </c>
      <c r="BV27" s="38">
        <f t="shared" si="23"/>
        <v>0</v>
      </c>
      <c r="BW27" s="38">
        <f t="shared" si="16"/>
        <v>0</v>
      </c>
      <c r="BX27" s="38">
        <f t="shared" si="24"/>
        <v>0</v>
      </c>
      <c r="CA27" s="44" t="str">
        <f t="shared" si="25"/>
        <v/>
      </c>
      <c r="CB27" s="44" t="str">
        <f t="shared" si="33"/>
        <v/>
      </c>
      <c r="CC27" s="44" t="str">
        <f t="shared" si="26"/>
        <v xml:space="preserve"> </v>
      </c>
      <c r="CD27" s="44" t="str">
        <f t="shared" si="27"/>
        <v/>
      </c>
      <c r="CE27" s="44" t="str">
        <f t="shared" si="28"/>
        <v/>
      </c>
      <c r="CF27" s="44" t="str">
        <f t="shared" si="29"/>
        <v/>
      </c>
      <c r="CI27" s="44" t="str">
        <f t="shared" si="30"/>
        <v/>
      </c>
      <c r="CJ27" s="44" t="str">
        <f t="shared" si="31"/>
        <v/>
      </c>
      <c r="CK27" s="44" t="str">
        <f t="shared" si="32"/>
        <v/>
      </c>
    </row>
    <row r="28" spans="1:90" ht="18" customHeight="1">
      <c r="J28" s="70" t="str">
        <f>IF($BL$31&gt;11,"",VLOOKUP(1,$BL$28:$BM$30,2,FALSE))</f>
        <v/>
      </c>
      <c r="K28" s="70"/>
      <c r="L28" s="36"/>
      <c r="M28" s="33" t="str">
        <f>IF(AA28=0,"",VLOOKUP(AA28,$BD$10:$BF$11,2,FALSE))</f>
        <v/>
      </c>
      <c r="N28" s="36"/>
      <c r="O28" s="33" t="str">
        <f>IF(AA28=0,"",VLOOKUP(AA28,$BD$10:$BF$11,3,FALSE))</f>
        <v/>
      </c>
      <c r="P28" s="36"/>
      <c r="AA28" s="41">
        <f>IF(J28="",0,1)</f>
        <v>0</v>
      </c>
      <c r="AB28" s="42"/>
      <c r="AC28" s="41"/>
      <c r="AD28" s="42"/>
      <c r="AE28" s="41"/>
      <c r="AO28" s="38">
        <v>519</v>
      </c>
      <c r="AP28" s="38" t="s">
        <v>395</v>
      </c>
      <c r="AQ28" s="38" t="s">
        <v>398</v>
      </c>
      <c r="AR28" s="38" t="s">
        <v>306</v>
      </c>
      <c r="AS28" s="38" t="s">
        <v>90</v>
      </c>
      <c r="AT28" s="38" t="s">
        <v>307</v>
      </c>
      <c r="AU28" s="38" t="s">
        <v>91</v>
      </c>
      <c r="AV28" s="38" t="s">
        <v>92</v>
      </c>
      <c r="BB28" s="38" t="s">
        <v>188</v>
      </c>
      <c r="BC28" s="43">
        <v>44</v>
      </c>
      <c r="BK28" s="38">
        <f>IF(BK6&gt;3,1,99)</f>
        <v>99</v>
      </c>
      <c r="BL28" s="38">
        <f>IF(BK28=99,4,RANK(BK28,$BK$28:$BK$30,1))</f>
        <v>4</v>
      </c>
      <c r="BM28" s="38" t="s">
        <v>191</v>
      </c>
      <c r="BP28" s="38">
        <f>SUM(BP8:BP27)</f>
        <v>0</v>
      </c>
      <c r="BS28" s="38">
        <f>SUM(BS8:BS27)</f>
        <v>0</v>
      </c>
      <c r="BV28" s="38">
        <f>SUM(BV8:BV27)</f>
        <v>0</v>
      </c>
      <c r="CB28" s="45" t="s">
        <v>195</v>
      </c>
      <c r="CC28" s="45" t="s">
        <v>196</v>
      </c>
      <c r="CD28" s="45" t="s">
        <v>197</v>
      </c>
      <c r="CE28" s="45" t="s">
        <v>211</v>
      </c>
      <c r="CF28" s="45" t="s">
        <v>212</v>
      </c>
      <c r="CG28" s="45" t="s">
        <v>204</v>
      </c>
      <c r="CH28" s="45" t="s">
        <v>205</v>
      </c>
      <c r="CI28" s="45" t="s">
        <v>213</v>
      </c>
      <c r="CJ28" s="45" t="s">
        <v>214</v>
      </c>
      <c r="CK28" s="45" t="s">
        <v>215</v>
      </c>
      <c r="CL28" s="45" t="s">
        <v>216</v>
      </c>
    </row>
    <row r="29" spans="1:90" ht="18" customHeight="1">
      <c r="J29" s="71" t="str">
        <f>IF($BL$31&gt;8,"",VLOOKUP(2,$BL$28:$BM$30,2,FALSE))</f>
        <v/>
      </c>
      <c r="K29" s="71"/>
      <c r="L29" s="37"/>
      <c r="M29" s="34" t="str">
        <f>IF(AA29=0,"",VLOOKUP(AA29,$BD$10:$BF$11,2,FALSE))</f>
        <v/>
      </c>
      <c r="N29" s="37"/>
      <c r="O29" s="34" t="str">
        <f>IF(AA29=0,"",VLOOKUP(AA29,$BD$10:$BF$11,3,FALSE))</f>
        <v/>
      </c>
      <c r="P29" s="37"/>
      <c r="AA29" s="41">
        <f>IF(J29="",0,1)</f>
        <v>0</v>
      </c>
      <c r="AB29" s="42"/>
      <c r="AC29" s="41"/>
      <c r="AD29" s="42"/>
      <c r="AE29" s="41"/>
      <c r="AO29" s="38">
        <v>520</v>
      </c>
      <c r="AP29" s="38" t="s">
        <v>397</v>
      </c>
      <c r="AQ29" s="38" t="s">
        <v>399</v>
      </c>
      <c r="AR29" s="38" t="s">
        <v>308</v>
      </c>
      <c r="AS29" s="38" t="s">
        <v>45</v>
      </c>
      <c r="AT29" s="38" t="s">
        <v>309</v>
      </c>
      <c r="AU29" s="38" t="s">
        <v>46</v>
      </c>
      <c r="AV29" s="38" t="s">
        <v>47</v>
      </c>
      <c r="BB29" s="38" t="s">
        <v>128</v>
      </c>
      <c r="BC29" s="43">
        <v>71</v>
      </c>
      <c r="BK29" s="38">
        <f>IF(BL6&gt;3,2,99)</f>
        <v>99</v>
      </c>
      <c r="BL29" s="38">
        <f>IF(BK29=99,4,RANK(BK29,$BK$28:$BK$30,1))</f>
        <v>4</v>
      </c>
      <c r="BM29" s="38" t="s">
        <v>192</v>
      </c>
      <c r="CA29" s="44" t="s">
        <v>208</v>
      </c>
      <c r="CB29" s="44" t="str">
        <f>IF(BK28=1,$P$1+273000,"")</f>
        <v/>
      </c>
      <c r="CC29" s="44" t="str">
        <f>IF(CB29="","",$V$1)</f>
        <v/>
      </c>
      <c r="CD29" s="44" t="str">
        <f>IF(CB29="","",VLOOKUP($P$1,$AO$10:$AR$110,4,FALSE))</f>
        <v/>
      </c>
      <c r="CE29" s="44" t="str">
        <f>IF(CB29="","",$V$1)</f>
        <v/>
      </c>
      <c r="CF29" s="44" t="str">
        <f>IF(BK28=1,VLOOKUP(BM28,J28:P30,3,FALSE)*10000+VLOOKUP(BM28,J28:P30,5,FALSE)*100+VLOOKUP(BM28,J28:P30,7,FALSE),"")</f>
        <v/>
      </c>
      <c r="CG29" s="44" t="str">
        <f>IF(CB29="","",VLOOKUP(1,$BP$8:$BQ$27,2,FALSE))</f>
        <v/>
      </c>
      <c r="CH29" s="44" t="str">
        <f>IF(CB29="","",VLOOKUP(2,$BP$8:$BQ$27,2,FALSE))</f>
        <v/>
      </c>
      <c r="CI29" s="44" t="str">
        <f>IF(CB29="","",VLOOKUP(3,$BP$8:$BQ$27,2,FALSE))</f>
        <v/>
      </c>
      <c r="CJ29" s="44" t="str">
        <f>IF(CB29="","",VLOOKUP(4,$BP$8:$BQ$27,2,FALSE))</f>
        <v/>
      </c>
      <c r="CK29" s="44" t="str">
        <f>IF(BP28&gt;10,VLOOKUP(5,$BP$8:$BQ$27,2,FALSE),"")</f>
        <v/>
      </c>
      <c r="CL29" s="44" t="str">
        <f>IF(BP28&gt;15,VLOOKUP(6,$BP$8:$BQ$27,2,FALSE),"")</f>
        <v/>
      </c>
    </row>
    <row r="30" spans="1:90" ht="18" customHeight="1">
      <c r="J30" s="71" t="str">
        <f>IF($BL$31&gt;6,"",VLOOKUP(3,$BL$28:$BM$30,2,FALSE))</f>
        <v/>
      </c>
      <c r="K30" s="71"/>
      <c r="L30" s="37"/>
      <c r="M30" s="34" t="str">
        <f>IF(AA30=0,"",VLOOKUP(AA30,$BD$10:$BF$11,2,FALSE))</f>
        <v/>
      </c>
      <c r="N30" s="37"/>
      <c r="O30" s="34" t="str">
        <f>IF(AA30=0,"",VLOOKUP(AA30,$BD$10:$BF$11,3,FALSE))</f>
        <v/>
      </c>
      <c r="P30" s="37"/>
      <c r="AA30" s="41">
        <f>IF(J30="",0,1)</f>
        <v>0</v>
      </c>
      <c r="AB30" s="42"/>
      <c r="AC30" s="41"/>
      <c r="AD30" s="42"/>
      <c r="AE30" s="41"/>
      <c r="AO30" s="38">
        <v>521</v>
      </c>
      <c r="AP30" s="38" t="s">
        <v>237</v>
      </c>
      <c r="AQ30" s="38" t="s">
        <v>310</v>
      </c>
      <c r="AR30" s="38" t="s">
        <v>238</v>
      </c>
      <c r="AS30" s="38" t="s">
        <v>33</v>
      </c>
      <c r="AT30" s="38" t="s">
        <v>311</v>
      </c>
      <c r="AU30" s="38" t="s">
        <v>34</v>
      </c>
      <c r="AV30" s="38" t="s">
        <v>35</v>
      </c>
      <c r="BB30" s="38" t="s">
        <v>183</v>
      </c>
      <c r="BC30" s="43">
        <v>73</v>
      </c>
      <c r="BK30" s="38">
        <f>IF(BM6&gt;3,3,99)</f>
        <v>99</v>
      </c>
      <c r="BL30" s="38">
        <f>IF(BK30=99,4,RANK(BK30,$BK$28:$BK$30,1))</f>
        <v>4</v>
      </c>
      <c r="BM30" s="38" t="s">
        <v>193</v>
      </c>
      <c r="CA30" s="44" t="s">
        <v>209</v>
      </c>
      <c r="CB30" s="44" t="str">
        <f>IF(BK29=2,$P$1+273000,"")</f>
        <v/>
      </c>
      <c r="CC30" s="44" t="str">
        <f>IF(CB30="","",$V$1)</f>
        <v/>
      </c>
      <c r="CD30" s="44" t="str">
        <f>IF(CB30="","",VLOOKUP($P$1,$AO$10:$AR$110,4,FALSE))</f>
        <v/>
      </c>
      <c r="CE30" s="44" t="str">
        <f>IF(CB30="","",$V$1)</f>
        <v/>
      </c>
      <c r="CF30" s="44" t="str">
        <f>IF(BK29=2,VLOOKUP(BM29,J28:P30,3,FALSE)*10000+VLOOKUP(BM29,J28:P30,5,FALSE)*100+VLOOKUP(BM29,J28:P30,7,FALSE),"")</f>
        <v/>
      </c>
      <c r="CG30" s="44" t="str">
        <f>IF(CB30="","",VLOOKUP(1,$BS$8:$BT$27,2,FALSE))</f>
        <v/>
      </c>
      <c r="CH30" s="44" t="str">
        <f>IF(CB30="","",VLOOKUP(2,$BS$8:$BT$27,2,FALSE))</f>
        <v/>
      </c>
      <c r="CI30" s="44" t="str">
        <f>IF(CB30="","",VLOOKUP(3,$BS$8:$BT$27,2,FALSE))</f>
        <v/>
      </c>
      <c r="CJ30" s="44" t="str">
        <f>IF(CB30="","",VLOOKUP(4,$BS$8:$BT$27,2,FALSE))</f>
        <v/>
      </c>
      <c r="CK30" s="44" t="str">
        <f>IF(BS28&gt;10,VLOOKUP(5,$BS$8:$BT$27,2,FALSE),"")</f>
        <v/>
      </c>
      <c r="CL30" s="44" t="str">
        <f>IF(BS28&gt;15,VLOOKUP(6,$BS$8:$BT$27,2,FALSE),"")</f>
        <v/>
      </c>
    </row>
    <row r="31" spans="1:90" ht="20.100000000000001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AO31" s="38">
        <v>522</v>
      </c>
      <c r="AP31" s="38" t="s">
        <v>312</v>
      </c>
      <c r="AQ31" s="38" t="s">
        <v>313</v>
      </c>
      <c r="AR31" s="38" t="s">
        <v>23</v>
      </c>
      <c r="AS31" s="38" t="s">
        <v>24</v>
      </c>
      <c r="AT31" s="38" t="s">
        <v>25</v>
      </c>
      <c r="AU31" s="38" t="s">
        <v>26</v>
      </c>
      <c r="AV31" s="38" t="s">
        <v>27</v>
      </c>
      <c r="BB31" s="38" t="s">
        <v>130</v>
      </c>
      <c r="BC31" s="43">
        <v>84</v>
      </c>
      <c r="BL31" s="38">
        <f>SUM(BL28:BL30)</f>
        <v>12</v>
      </c>
      <c r="CA31" s="44" t="s">
        <v>210</v>
      </c>
      <c r="CB31" s="44" t="str">
        <f>IF(BK30=3,$P$1+273000,"")</f>
        <v/>
      </c>
      <c r="CC31" s="44" t="str">
        <f>IF(CB31="","",$V$1)</f>
        <v/>
      </c>
      <c r="CD31" s="44" t="str">
        <f>IF(CB31="","",VLOOKUP($P$1,$AO10:$AR110,4,FALSE))</f>
        <v/>
      </c>
      <c r="CE31" s="44" t="str">
        <f>IF(CB31="","",$V$1)</f>
        <v/>
      </c>
      <c r="CF31" s="44" t="str">
        <f>IF(BK30=3,VLOOKUP(BM30,J28:P30,3,FALSE)*10000+VLOOKUP(BM30,J28:P30,5,FALSE)*100+VLOOKUP(BM30,J28:P30,7,FALSE),"")</f>
        <v/>
      </c>
      <c r="CG31" s="44" t="str">
        <f>IF(CB31="","",VLOOKUP(1,$BV$8:$BW$27,2,FALSE))</f>
        <v/>
      </c>
      <c r="CH31" s="44" t="str">
        <f>IF(CB31="","",VLOOKUP(2,$BV$8:$BW$27,2,FALSE))</f>
        <v/>
      </c>
      <c r="CI31" s="44" t="str">
        <f>IF(CB31="","",VLOOKUP(3,$BV$8:$BW$27,2,FALSE))</f>
        <v/>
      </c>
      <c r="CJ31" s="44" t="str">
        <f>IF(CB31="","",VLOOKUP(4,$BV$8:$BW$27,2,FALSE))</f>
        <v/>
      </c>
      <c r="CK31" s="44" t="str">
        <f>IF(BV28&gt;10,VLOOKUP(5,$BV$8:$BW$27,2,FALSE),"")</f>
        <v/>
      </c>
      <c r="CL31" s="44" t="str">
        <f>IF(BV28&gt;15,VLOOKUP(6,$BV$8:$BW$27,2,FALSE),"")</f>
        <v/>
      </c>
    </row>
    <row r="32" spans="1:90" ht="20.100000000000001" customHeight="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AO32" s="38">
        <v>523</v>
      </c>
      <c r="AV32" s="38" t="s">
        <v>275</v>
      </c>
      <c r="BB32" s="38" t="s">
        <v>131</v>
      </c>
      <c r="BC32" s="43">
        <v>88</v>
      </c>
    </row>
    <row r="33" spans="1:48" ht="20.100000000000001" customHeigh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AO33" s="38">
        <v>524</v>
      </c>
      <c r="AV33" s="38" t="s">
        <v>275</v>
      </c>
    </row>
    <row r="34" spans="1:48" ht="20.100000000000001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AO34" s="38">
        <v>525</v>
      </c>
      <c r="AP34" s="39"/>
      <c r="AQ34" s="39"/>
      <c r="AV34" s="38" t="s">
        <v>275</v>
      </c>
    </row>
    <row r="35" spans="1:48" ht="20.100000000000001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AO35" s="38">
        <v>526</v>
      </c>
      <c r="AV35" s="38" t="s">
        <v>275</v>
      </c>
    </row>
    <row r="36" spans="1:48" ht="20.100000000000001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AO36" s="38">
        <v>527</v>
      </c>
      <c r="AV36" s="38" t="s">
        <v>275</v>
      </c>
    </row>
    <row r="37" spans="1:48" ht="20.100000000000001" customHeight="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AO37" s="38">
        <v>528</v>
      </c>
      <c r="AV37" s="38" t="s">
        <v>275</v>
      </c>
    </row>
    <row r="38" spans="1:48" ht="20.100000000000001" customHeight="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AO38" s="38">
        <v>529</v>
      </c>
      <c r="AV38" s="38" t="s">
        <v>275</v>
      </c>
    </row>
    <row r="39" spans="1:48" ht="20.100000000000001" customHeight="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AO39" s="38">
        <v>530</v>
      </c>
      <c r="AV39" s="38" t="s">
        <v>275</v>
      </c>
    </row>
    <row r="40" spans="1:48" ht="20.100000000000001" customHeight="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AO40" s="39">
        <v>531</v>
      </c>
      <c r="AP40" s="39" t="s">
        <v>28</v>
      </c>
      <c r="AQ40" s="39" t="s">
        <v>103</v>
      </c>
      <c r="AR40" s="39" t="s">
        <v>29</v>
      </c>
      <c r="AS40" s="38" t="s">
        <v>30</v>
      </c>
      <c r="AT40" s="38" t="s">
        <v>31</v>
      </c>
      <c r="AU40" s="38" t="s">
        <v>314</v>
      </c>
      <c r="AV40" s="38" t="s">
        <v>32</v>
      </c>
    </row>
    <row r="41" spans="1:48" ht="20.100000000000001" customHeight="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AO41" s="39">
        <v>532</v>
      </c>
      <c r="AP41" s="39" t="s">
        <v>315</v>
      </c>
      <c r="AQ41" s="39" t="s">
        <v>106</v>
      </c>
      <c r="AR41" s="39" t="s">
        <v>316</v>
      </c>
      <c r="AS41" s="38" t="s">
        <v>317</v>
      </c>
      <c r="AT41" s="38" t="s">
        <v>318</v>
      </c>
      <c r="AU41" s="38" t="s">
        <v>319</v>
      </c>
      <c r="AV41" s="38" t="s">
        <v>275</v>
      </c>
    </row>
    <row r="42" spans="1:48" ht="20.100000000000001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AO42" s="39">
        <v>533</v>
      </c>
      <c r="AP42" s="39" t="s">
        <v>320</v>
      </c>
      <c r="AQ42" s="39" t="s">
        <v>105</v>
      </c>
      <c r="AR42" s="39" t="s">
        <v>321</v>
      </c>
      <c r="AS42" s="38" t="s">
        <v>54</v>
      </c>
      <c r="AT42" s="38" t="s">
        <v>322</v>
      </c>
      <c r="AU42" s="38" t="s">
        <v>55</v>
      </c>
      <c r="AV42" s="38" t="s">
        <v>56</v>
      </c>
    </row>
    <row r="43" spans="1:48" ht="20.100000000000001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AO43" s="39">
        <v>534</v>
      </c>
      <c r="AP43" s="39" t="s">
        <v>36</v>
      </c>
      <c r="AQ43" s="39" t="s">
        <v>104</v>
      </c>
      <c r="AR43" s="39" t="s">
        <v>37</v>
      </c>
      <c r="AS43" s="38" t="s">
        <v>38</v>
      </c>
      <c r="AT43" s="38" t="s">
        <v>39</v>
      </c>
      <c r="AU43" s="38" t="s">
        <v>40</v>
      </c>
      <c r="AV43" s="38" t="s">
        <v>41</v>
      </c>
    </row>
    <row r="44" spans="1:48" ht="20.100000000000001" customHeight="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AO44" s="39">
        <v>535</v>
      </c>
      <c r="AP44" s="39" t="s">
        <v>323</v>
      </c>
      <c r="AQ44" s="39" t="s">
        <v>324</v>
      </c>
      <c r="AR44" s="39" t="s">
        <v>325</v>
      </c>
      <c r="AS44" s="38" t="s">
        <v>326</v>
      </c>
      <c r="AT44" s="38" t="s">
        <v>327</v>
      </c>
      <c r="AU44" s="38" t="s">
        <v>328</v>
      </c>
      <c r="AV44" s="38" t="s">
        <v>275</v>
      </c>
    </row>
    <row r="45" spans="1:48" ht="20.100000000000001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AO45" s="39">
        <v>536</v>
      </c>
      <c r="AP45" s="39" t="s">
        <v>93</v>
      </c>
      <c r="AQ45" s="39" t="s">
        <v>329</v>
      </c>
      <c r="AR45" s="39" t="s">
        <v>94</v>
      </c>
      <c r="AS45" s="38" t="s">
        <v>225</v>
      </c>
      <c r="AT45" s="38" t="s">
        <v>330</v>
      </c>
      <c r="AU45" s="38" t="s">
        <v>226</v>
      </c>
      <c r="AV45" s="38" t="s">
        <v>227</v>
      </c>
    </row>
    <row r="46" spans="1:48" ht="20.100000000000001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AO46" s="39">
        <v>537</v>
      </c>
      <c r="AP46" s="39" t="s">
        <v>331</v>
      </c>
      <c r="AQ46" s="39" t="s">
        <v>332</v>
      </c>
      <c r="AR46" s="39" t="s">
        <v>333</v>
      </c>
      <c r="AS46" s="38" t="s">
        <v>334</v>
      </c>
      <c r="AT46" s="38" t="s">
        <v>335</v>
      </c>
      <c r="AU46" s="38" t="s">
        <v>336</v>
      </c>
      <c r="AV46" s="38" t="s">
        <v>275</v>
      </c>
    </row>
    <row r="47" spans="1:48" ht="20.100000000000001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AO47" s="39">
        <v>538</v>
      </c>
      <c r="AP47" s="39" t="s">
        <v>337</v>
      </c>
      <c r="AQ47" s="39" t="s">
        <v>338</v>
      </c>
      <c r="AR47" s="39" t="s">
        <v>339</v>
      </c>
      <c r="AS47" s="38" t="s">
        <v>340</v>
      </c>
      <c r="AT47" s="38" t="s">
        <v>341</v>
      </c>
      <c r="AU47" s="38" t="s">
        <v>342</v>
      </c>
      <c r="AV47" s="38" t="s">
        <v>275</v>
      </c>
    </row>
    <row r="48" spans="1:48" ht="20.100000000000001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AO48" s="39">
        <v>539</v>
      </c>
      <c r="AP48" s="39" t="s">
        <v>343</v>
      </c>
      <c r="AQ48" s="39" t="s">
        <v>344</v>
      </c>
      <c r="AR48" s="39" t="s">
        <v>345</v>
      </c>
      <c r="AS48" s="38" t="s">
        <v>100</v>
      </c>
      <c r="AT48" s="38" t="s">
        <v>346</v>
      </c>
      <c r="AU48" s="38" t="s">
        <v>101</v>
      </c>
      <c r="AV48" s="38" t="s">
        <v>102</v>
      </c>
    </row>
    <row r="49" spans="1:48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AO49" s="39">
        <v>540</v>
      </c>
      <c r="AP49" s="39" t="s">
        <v>347</v>
      </c>
      <c r="AQ49" s="39" t="s">
        <v>348</v>
      </c>
      <c r="AR49" s="39" t="s">
        <v>349</v>
      </c>
      <c r="AS49" s="38" t="s">
        <v>242</v>
      </c>
      <c r="AT49" s="38" t="s">
        <v>350</v>
      </c>
      <c r="AU49" s="38" t="s">
        <v>243</v>
      </c>
      <c r="AV49" s="38" t="s">
        <v>244</v>
      </c>
    </row>
    <row r="50" spans="1:48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AO50" s="39">
        <v>541</v>
      </c>
      <c r="AP50" s="39" t="s">
        <v>351</v>
      </c>
      <c r="AQ50" s="39" t="s">
        <v>352</v>
      </c>
      <c r="AR50" s="39" t="s">
        <v>353</v>
      </c>
      <c r="AS50" s="38" t="s">
        <v>354</v>
      </c>
      <c r="AT50" s="38" t="s">
        <v>355</v>
      </c>
      <c r="AU50" s="38" t="s">
        <v>356</v>
      </c>
      <c r="AV50" s="38" t="s">
        <v>275</v>
      </c>
    </row>
    <row r="51" spans="1:48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AO51" s="39">
        <v>542</v>
      </c>
      <c r="AP51" s="39" t="s">
        <v>357</v>
      </c>
      <c r="AQ51" s="39" t="s">
        <v>358</v>
      </c>
      <c r="AR51" s="39" t="s">
        <v>236</v>
      </c>
      <c r="AS51" s="38" t="s">
        <v>15</v>
      </c>
      <c r="AT51" s="38" t="s">
        <v>359</v>
      </c>
      <c r="AU51" s="38" t="s">
        <v>16</v>
      </c>
      <c r="AV51" s="38" t="s">
        <v>17</v>
      </c>
    </row>
    <row r="52" spans="1:48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AO52" s="39">
        <v>543</v>
      </c>
      <c r="AP52" s="39" t="s">
        <v>360</v>
      </c>
      <c r="AQ52" s="39" t="s">
        <v>361</v>
      </c>
      <c r="AR52" s="39" t="s">
        <v>362</v>
      </c>
      <c r="AS52" s="38" t="s">
        <v>363</v>
      </c>
      <c r="AT52" s="38" t="s">
        <v>364</v>
      </c>
      <c r="AU52" s="38" t="s">
        <v>365</v>
      </c>
      <c r="AV52" s="38" t="s">
        <v>275</v>
      </c>
    </row>
    <row r="53" spans="1:48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AO53" s="39">
        <v>544</v>
      </c>
      <c r="AP53" s="39" t="s">
        <v>366</v>
      </c>
      <c r="AQ53" s="39" t="s">
        <v>367</v>
      </c>
      <c r="AR53" s="39" t="s">
        <v>368</v>
      </c>
      <c r="AS53" s="38" t="s">
        <v>369</v>
      </c>
      <c r="AT53" s="38" t="s">
        <v>370</v>
      </c>
      <c r="AU53" s="38" t="s">
        <v>371</v>
      </c>
      <c r="AV53" s="38" t="s">
        <v>275</v>
      </c>
    </row>
    <row r="54" spans="1:48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AO54" s="39">
        <v>545</v>
      </c>
      <c r="AP54" s="39" t="s">
        <v>95</v>
      </c>
      <c r="AQ54" s="39" t="s">
        <v>372</v>
      </c>
      <c r="AR54" s="39" t="s">
        <v>373</v>
      </c>
      <c r="AS54" s="38" t="s">
        <v>96</v>
      </c>
      <c r="AT54" s="38" t="s">
        <v>97</v>
      </c>
      <c r="AU54" s="38" t="s">
        <v>98</v>
      </c>
      <c r="AV54" s="38" t="s">
        <v>99</v>
      </c>
    </row>
    <row r="55" spans="1:48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AO55" s="39">
        <v>546</v>
      </c>
      <c r="AP55" s="39" t="s">
        <v>374</v>
      </c>
      <c r="AQ55" s="39" t="s">
        <v>375</v>
      </c>
      <c r="AR55" s="39" t="s">
        <v>376</v>
      </c>
      <c r="AS55" s="38" t="s">
        <v>377</v>
      </c>
      <c r="AT55" s="38" t="s">
        <v>378</v>
      </c>
      <c r="AU55" s="38" t="s">
        <v>248</v>
      </c>
      <c r="AV55" s="38" t="s">
        <v>249</v>
      </c>
    </row>
    <row r="56" spans="1:48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AO56" s="39">
        <v>547</v>
      </c>
      <c r="AP56" s="39" t="s">
        <v>379</v>
      </c>
      <c r="AQ56" s="39" t="s">
        <v>380</v>
      </c>
      <c r="AR56" s="39" t="s">
        <v>381</v>
      </c>
      <c r="AS56" s="38" t="s">
        <v>382</v>
      </c>
      <c r="AT56" s="38" t="s">
        <v>383</v>
      </c>
      <c r="AU56" s="38" t="s">
        <v>384</v>
      </c>
      <c r="AV56" s="38" t="s">
        <v>275</v>
      </c>
    </row>
    <row r="57" spans="1:48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AO57" s="39">
        <v>548</v>
      </c>
      <c r="AP57" s="39" t="s">
        <v>385</v>
      </c>
      <c r="AQ57" s="39" t="s">
        <v>386</v>
      </c>
      <c r="AR57" s="39" t="s">
        <v>387</v>
      </c>
      <c r="AS57" s="38" t="s">
        <v>42</v>
      </c>
      <c r="AT57" s="38" t="s">
        <v>388</v>
      </c>
      <c r="AU57" s="38" t="s">
        <v>43</v>
      </c>
      <c r="AV57" s="38" t="s">
        <v>44</v>
      </c>
    </row>
    <row r="58" spans="1:48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AO58" s="39">
        <v>549</v>
      </c>
      <c r="AP58" s="39" t="s">
        <v>389</v>
      </c>
      <c r="AQ58" s="39" t="s">
        <v>390</v>
      </c>
      <c r="AR58" s="39" t="s">
        <v>391</v>
      </c>
      <c r="AS58" s="38" t="s">
        <v>392</v>
      </c>
      <c r="AT58" s="38" t="s">
        <v>393</v>
      </c>
      <c r="AU58" s="38" t="s">
        <v>394</v>
      </c>
      <c r="AV58" s="38" t="s">
        <v>275</v>
      </c>
    </row>
    <row r="59" spans="1:48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AO59" s="38">
        <v>550</v>
      </c>
      <c r="AV59" s="38" t="s">
        <v>275</v>
      </c>
    </row>
    <row r="60" spans="1:48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AO60" s="38">
        <v>551</v>
      </c>
      <c r="AV60" s="38" t="s">
        <v>275</v>
      </c>
    </row>
    <row r="61" spans="1:48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AO61" s="38">
        <v>552</v>
      </c>
      <c r="AV61" s="38" t="s">
        <v>275</v>
      </c>
    </row>
    <row r="62" spans="1:48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AO62" s="38">
        <v>553</v>
      </c>
      <c r="AV62" s="38" t="s">
        <v>275</v>
      </c>
    </row>
    <row r="63" spans="1:48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AO63" s="38">
        <v>554</v>
      </c>
      <c r="AV63" s="38" t="s">
        <v>275</v>
      </c>
    </row>
    <row r="64" spans="1:48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AO64" s="38">
        <v>555</v>
      </c>
      <c r="AV64" s="38" t="s">
        <v>275</v>
      </c>
    </row>
    <row r="65" spans="1:48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AO65" s="38">
        <v>556</v>
      </c>
      <c r="AV65" s="38" t="s">
        <v>275</v>
      </c>
    </row>
    <row r="66" spans="1:48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AO66" s="38">
        <v>557</v>
      </c>
      <c r="AV66" s="38" t="s">
        <v>275</v>
      </c>
    </row>
    <row r="67" spans="1:48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AO67" s="38">
        <v>558</v>
      </c>
      <c r="AV67" s="38" t="s">
        <v>275</v>
      </c>
    </row>
    <row r="68" spans="1:48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AO68" s="38">
        <v>559</v>
      </c>
      <c r="AV68" s="38" t="s">
        <v>275</v>
      </c>
    </row>
    <row r="69" spans="1:48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AO69" s="38">
        <v>560</v>
      </c>
      <c r="AV69" s="38" t="s">
        <v>275</v>
      </c>
    </row>
    <row r="70" spans="1:48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AO70" s="38">
        <v>561</v>
      </c>
    </row>
    <row r="71" spans="1:48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AO71" s="38">
        <v>562</v>
      </c>
    </row>
    <row r="72" spans="1:48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AO72" s="38">
        <v>563</v>
      </c>
    </row>
    <row r="73" spans="1:48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AO73" s="38">
        <v>564</v>
      </c>
    </row>
    <row r="74" spans="1:48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AO74" s="38">
        <v>565</v>
      </c>
    </row>
    <row r="75" spans="1:48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AO75" s="38">
        <v>566</v>
      </c>
    </row>
    <row r="76" spans="1:48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AO76" s="38">
        <v>567</v>
      </c>
    </row>
    <row r="77" spans="1:48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AO77" s="38">
        <v>568</v>
      </c>
    </row>
    <row r="78" spans="1:48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AO78" s="38">
        <v>569</v>
      </c>
    </row>
    <row r="79" spans="1:48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AO79" s="38">
        <v>570</v>
      </c>
    </row>
    <row r="80" spans="1:48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AO80" s="38">
        <v>571</v>
      </c>
    </row>
    <row r="81" spans="1:4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AO81" s="38">
        <v>572</v>
      </c>
    </row>
    <row r="82" spans="1:4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AO82" s="38">
        <v>573</v>
      </c>
    </row>
    <row r="83" spans="1:4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AO83" s="38">
        <v>574</v>
      </c>
    </row>
    <row r="84" spans="1:4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AO84" s="38">
        <v>575</v>
      </c>
    </row>
    <row r="85" spans="1:4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AO85" s="38">
        <v>576</v>
      </c>
    </row>
    <row r="86" spans="1:4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AO86" s="38">
        <v>577</v>
      </c>
    </row>
    <row r="87" spans="1:4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AO87" s="38">
        <v>578</v>
      </c>
    </row>
    <row r="88" spans="1:4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AO88" s="38">
        <v>579</v>
      </c>
    </row>
    <row r="89" spans="1:4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AO89" s="38">
        <v>580</v>
      </c>
    </row>
    <row r="90" spans="1:4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AO90" s="38">
        <v>581</v>
      </c>
    </row>
    <row r="91" spans="1:4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AO91" s="38">
        <v>582</v>
      </c>
    </row>
    <row r="92" spans="1:4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AO92" s="38">
        <v>583</v>
      </c>
    </row>
    <row r="93" spans="1:4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AO93" s="38">
        <v>584</v>
      </c>
    </row>
    <row r="94" spans="1:4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AO94" s="38">
        <v>585</v>
      </c>
    </row>
    <row r="95" spans="1:4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AO95" s="38">
        <v>586</v>
      </c>
    </row>
    <row r="96" spans="1:4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AO96" s="38">
        <v>587</v>
      </c>
    </row>
    <row r="97" spans="1:4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AO97" s="38">
        <v>588</v>
      </c>
    </row>
    <row r="98" spans="1:4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AO98" s="38">
        <v>589</v>
      </c>
    </row>
    <row r="99" spans="1:4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AO99" s="38">
        <v>590</v>
      </c>
    </row>
    <row r="100" spans="1:4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AO100" s="38">
        <v>591</v>
      </c>
    </row>
    <row r="101" spans="1:41">
      <c r="AO101" s="38">
        <v>592</v>
      </c>
    </row>
    <row r="102" spans="1:41">
      <c r="AO102" s="38">
        <v>593</v>
      </c>
    </row>
    <row r="103" spans="1:41">
      <c r="AO103" s="38">
        <v>594</v>
      </c>
    </row>
    <row r="104" spans="1:41">
      <c r="AO104" s="38">
        <v>595</v>
      </c>
    </row>
    <row r="105" spans="1:41">
      <c r="AO105" s="38">
        <v>596</v>
      </c>
    </row>
    <row r="106" spans="1:41">
      <c r="AO106" s="38">
        <v>597</v>
      </c>
    </row>
    <row r="107" spans="1:41">
      <c r="AO107" s="38">
        <v>598</v>
      </c>
    </row>
    <row r="108" spans="1:41">
      <c r="AO108" s="38">
        <v>599</v>
      </c>
    </row>
  </sheetData>
  <sheetProtection algorithmName="SHA-512" hashValue="1qAdJSgBcfoa1+87REfzDNnr409qnrL55kGdVOzD0o5azxP0yU6V4i9mjTMFMMTVoGM448XCHVMAiKGKRQ9jMw==" saltValue="heXKg+2e6/lTu5BK54t3wQ==" spinCount="100000" sheet="1"/>
  <protectedRanges>
    <protectedRange sqref="A1:I1" name="範囲18"/>
    <protectedRange sqref="V8:X27" name="範囲17"/>
    <protectedRange sqref="T8:T27" name="範囲16"/>
    <protectedRange sqref="Q17:R27 R8:R16" name="範囲15"/>
    <protectedRange sqref="P8:P30" name="範囲14"/>
    <protectedRange sqref="N8:N30" name="範囲13"/>
    <protectedRange sqref="L8:L30" name="範囲12"/>
    <protectedRange sqref="K8:K27 Q8:Q16" name="範囲11"/>
    <protectedRange sqref="B8:I27" name="範囲10"/>
    <protectedRange sqref="L4:P4" name="範囲9"/>
    <protectedRange sqref="I4:J4" name="範囲8"/>
    <protectedRange sqref="E4:F4" name="範囲7"/>
    <protectedRange sqref="C3:P3" name="範囲6"/>
    <protectedRange sqref="T2:W4" name="範囲5"/>
    <protectedRange sqref="V1:X1" name="範囲4"/>
    <protectedRange sqref="P1:Q1" name="範囲3"/>
    <protectedRange sqref="K2:N2" name="範囲2"/>
    <protectedRange sqref="C2:I2" name="範囲1"/>
  </protectedRanges>
  <mergeCells count="38">
    <mergeCell ref="J28:K28"/>
    <mergeCell ref="J29:K29"/>
    <mergeCell ref="J30:K30"/>
    <mergeCell ref="A1:I1"/>
    <mergeCell ref="G6:G7"/>
    <mergeCell ref="H6:H7"/>
    <mergeCell ref="C3:D3"/>
    <mergeCell ref="E3:P3"/>
    <mergeCell ref="C4:D4"/>
    <mergeCell ref="E4:F4"/>
    <mergeCell ref="P1:Q1"/>
    <mergeCell ref="G4:H4"/>
    <mergeCell ref="I4:J4"/>
    <mergeCell ref="L4:P4"/>
    <mergeCell ref="A6:A7"/>
    <mergeCell ref="B6:B7"/>
    <mergeCell ref="V1:X1"/>
    <mergeCell ref="C2:I2"/>
    <mergeCell ref="O2:P2"/>
    <mergeCell ref="L1:O1"/>
    <mergeCell ref="R1:U1"/>
    <mergeCell ref="R2:S2"/>
    <mergeCell ref="T2:W2"/>
    <mergeCell ref="K2:N2"/>
    <mergeCell ref="X6:X7"/>
    <mergeCell ref="C6:D6"/>
    <mergeCell ref="E6:F6"/>
    <mergeCell ref="I6:I7"/>
    <mergeCell ref="J6:J7"/>
    <mergeCell ref="K6:K7"/>
    <mergeCell ref="L6:P7"/>
    <mergeCell ref="R6:V7"/>
    <mergeCell ref="Q6:Q7"/>
    <mergeCell ref="W6:W7"/>
    <mergeCell ref="R3:S3"/>
    <mergeCell ref="R4:S4"/>
    <mergeCell ref="T4:W4"/>
    <mergeCell ref="T3:W3"/>
  </mergeCells>
  <phoneticPr fontId="7"/>
  <conditionalFormatting sqref="A1:I1">
    <cfRule type="expression" dxfId="26" priority="33" stopIfTrue="1">
      <formula>$AA$1=0</formula>
    </cfRule>
  </conditionalFormatting>
  <conditionalFormatting sqref="E8:I27 K8:K27 Q8:Q27">
    <cfRule type="expression" dxfId="25" priority="5" stopIfTrue="1">
      <formula>$AA8=1</formula>
    </cfRule>
  </conditionalFormatting>
  <conditionalFormatting sqref="J28:K30">
    <cfRule type="expression" dxfId="24" priority="23" stopIfTrue="1">
      <formula>$AA28=1</formula>
    </cfRule>
  </conditionalFormatting>
  <conditionalFormatting sqref="K2:N2 T2:W4 E4:F4 B8:D27">
    <cfRule type="expression" dxfId="23" priority="32" stopIfTrue="1">
      <formula>$P$1&gt;0</formula>
    </cfRule>
  </conditionalFormatting>
  <conditionalFormatting sqref="L8:L27">
    <cfRule type="expression" dxfId="22" priority="3" stopIfTrue="1">
      <formula>$AC8=1</formula>
    </cfRule>
    <cfRule type="expression" dxfId="21" priority="6" stopIfTrue="1">
      <formula>$AC7=2</formula>
    </cfRule>
  </conditionalFormatting>
  <conditionalFormatting sqref="L28:L30">
    <cfRule type="expression" dxfId="20" priority="28" stopIfTrue="1">
      <formula>$AA28&gt;0</formula>
    </cfRule>
  </conditionalFormatting>
  <conditionalFormatting sqref="M8:M27">
    <cfRule type="expression" dxfId="19" priority="14" stopIfTrue="1">
      <formula>$AC8=1</formula>
    </cfRule>
  </conditionalFormatting>
  <conditionalFormatting sqref="M28:M30 O28:O30">
    <cfRule type="expression" dxfId="18" priority="24" stopIfTrue="1">
      <formula>$AA28&gt;0</formula>
    </cfRule>
  </conditionalFormatting>
  <conditionalFormatting sqref="N8:N27">
    <cfRule type="expression" dxfId="17" priority="7" stopIfTrue="1">
      <formula>$AC8&gt;0</formula>
    </cfRule>
  </conditionalFormatting>
  <conditionalFormatting sqref="N28:N30">
    <cfRule type="expression" dxfId="16" priority="29" stopIfTrue="1">
      <formula>$AA28&gt;0</formula>
    </cfRule>
  </conditionalFormatting>
  <conditionalFormatting sqref="O8:O27">
    <cfRule type="expression" dxfId="15" priority="15" stopIfTrue="1">
      <formula>$AC8&gt;0</formula>
    </cfRule>
  </conditionalFormatting>
  <conditionalFormatting sqref="P8:P27">
    <cfRule type="expression" dxfId="14" priority="8" stopIfTrue="1">
      <formula>$AC8&gt;0</formula>
    </cfRule>
  </conditionalFormatting>
  <conditionalFormatting sqref="P28:P30">
    <cfRule type="expression" dxfId="13" priority="31" stopIfTrue="1">
      <formula>$AA28=1</formula>
    </cfRule>
  </conditionalFormatting>
  <conditionalFormatting sqref="P1:Q1">
    <cfRule type="expression" dxfId="12" priority="34" stopIfTrue="1">
      <formula>$AA$1&gt;0</formula>
    </cfRule>
  </conditionalFormatting>
  <conditionalFormatting sqref="R8:R27">
    <cfRule type="expression" dxfId="11" priority="4" stopIfTrue="1">
      <formula>$AE8=2</formula>
    </cfRule>
    <cfRule type="expression" dxfId="10" priority="10" stopIfTrue="1">
      <formula>$AE8=1</formula>
    </cfRule>
  </conditionalFormatting>
  <conditionalFormatting sqref="S8:S27">
    <cfRule type="expression" dxfId="9" priority="16" stopIfTrue="1">
      <formula>$AE8=1</formula>
    </cfRule>
  </conditionalFormatting>
  <conditionalFormatting sqref="T8:T27">
    <cfRule type="expression" dxfId="8" priority="11" stopIfTrue="1">
      <formula>$AE8&gt;0</formula>
    </cfRule>
  </conditionalFormatting>
  <conditionalFormatting sqref="U8:U27">
    <cfRule type="expression" dxfId="7" priority="17" stopIfTrue="1">
      <formula>$AE8&gt;0</formula>
    </cfRule>
  </conditionalFormatting>
  <conditionalFormatting sqref="V8:V27">
    <cfRule type="expression" dxfId="6" priority="12" stopIfTrue="1">
      <formula>$AE8&gt;0</formula>
    </cfRule>
  </conditionalFormatting>
  <conditionalFormatting sqref="W8:W27">
    <cfRule type="expression" dxfId="5" priority="20" stopIfTrue="1">
      <formula>$H8="F"</formula>
    </cfRule>
    <cfRule type="expression" dxfId="4" priority="21" stopIfTrue="1">
      <formula>$H8="M"</formula>
    </cfRule>
  </conditionalFormatting>
  <conditionalFormatting sqref="X8:X12">
    <cfRule type="expression" dxfId="3" priority="1" stopIfTrue="1">
      <formula>$H8="F"</formula>
    </cfRule>
    <cfRule type="expression" dxfId="2" priority="2" stopIfTrue="1">
      <formula>$H8="M"</formula>
    </cfRule>
  </conditionalFormatting>
  <conditionalFormatting sqref="X13:X27">
    <cfRule type="expression" dxfId="1" priority="22" stopIfTrue="1">
      <formula>$H13="M"</formula>
    </cfRule>
  </conditionalFormatting>
  <dataValidations count="13">
    <dataValidation type="list" imeMode="halfAlpha" allowBlank="1" showInputMessage="1" showErrorMessage="1" sqref="Q17:Q27" xr:uid="{00000000-0002-0000-0000-000000000000}">
      <formula1>$AY$9:$AY$24</formula1>
    </dataValidation>
    <dataValidation type="list" imeMode="off" allowBlank="1" showInputMessage="1" showErrorMessage="1" sqref="G8:G27" xr:uid="{00000000-0002-0000-0000-000001000000}">
      <formula1>$AW$9:$AW$16</formula1>
    </dataValidation>
    <dataValidation type="date" imeMode="off" allowBlank="1" showInputMessage="1" showErrorMessage="1" sqref="I8:I27" xr:uid="{00000000-0002-0000-0000-000002000000}">
      <formula1>18264</formula1>
      <formula2>73051</formula2>
    </dataValidation>
    <dataValidation imeMode="halfKatakana" allowBlank="1" showInputMessage="1" showErrorMessage="1" sqref="E8:F27" xr:uid="{00000000-0002-0000-0000-000003000000}"/>
    <dataValidation type="list" imeMode="off" allowBlank="1" showInputMessage="1" showErrorMessage="1" sqref="P1:Q1" xr:uid="{00000000-0002-0000-0000-000004000000}">
      <formula1>$AO$9:$AO$108</formula1>
    </dataValidation>
    <dataValidation type="list" allowBlank="1" showInputMessage="1" showErrorMessage="1" sqref="A1:I1" xr:uid="{00000000-0002-0000-0000-000005000000}">
      <formula1>$AM$9:$AM$11</formula1>
    </dataValidation>
    <dataValidation type="list" allowBlank="1" showInputMessage="1" showErrorMessage="1" sqref="W8:X27" xr:uid="{00000000-0002-0000-0000-000006000000}">
      <formula1>$AL$9:$AL$10</formula1>
    </dataValidation>
    <dataValidation type="list" imeMode="off" allowBlank="1" showInputMessage="1" showErrorMessage="1" sqref="H8:H27" xr:uid="{00000000-0002-0000-0000-000007000000}">
      <formula1>$AH$9:$AH$11</formula1>
    </dataValidation>
    <dataValidation imeMode="halfAlpha" allowBlank="1" showInputMessage="1" showErrorMessage="1" sqref="S8:S27 O28:O30 M8:M30" xr:uid="{00000000-0002-0000-0000-000008000000}"/>
    <dataValidation type="list" imeMode="off" allowBlank="1" showInputMessage="1" showErrorMessage="1" sqref="K8:K27 Q8:Q16" xr:uid="{00000000-0002-0000-0000-000009000000}">
      <formula1>$AY$10:$AY$24</formula1>
    </dataValidation>
    <dataValidation type="whole" imeMode="off" allowBlank="1" showInputMessage="1" showErrorMessage="1" sqref="R8:R27 N28:N30 L8:L30" xr:uid="{00000000-0002-0000-0000-00000A000000}">
      <formula1>0</formula1>
      <formula2>59</formula2>
    </dataValidation>
    <dataValidation type="whole" imeMode="off" allowBlank="1" showInputMessage="1" showErrorMessage="1" sqref="P8:P30 N8:N27 V8:V27 T8:T27" xr:uid="{00000000-0002-0000-0000-00000B000000}">
      <formula1>0</formula1>
      <formula2>99</formula2>
    </dataValidation>
    <dataValidation type="whole" imeMode="off" allowBlank="1" showInputMessage="1" showErrorMessage="1" sqref="B8:B27" xr:uid="{00000000-0002-0000-0000-00000C000000}">
      <formula1>1</formula1>
      <formula2>1000</formula2>
    </dataValidation>
  </dataValidations>
  <printOptions horizontalCentered="1"/>
  <pageMargins left="0.39370078740157483" right="0.39370078740157483" top="0.78740157480314965" bottom="0.19685039370078741" header="0.51181102362204722" footer="0.11811023622047245"/>
  <pageSetup paperSize="9" orientation="landscape" blackAndWhite="1" r:id="rId1"/>
  <headerFooter alignWithMargins="0">
    <oddFooter>&amp;R&amp;9&amp;F　&amp;D/&amp;T　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0"/>
  <sheetViews>
    <sheetView workbookViewId="0">
      <selection sqref="A1:E1"/>
    </sheetView>
  </sheetViews>
  <sheetFormatPr defaultColWidth="8.5" defaultRowHeight="12.75"/>
  <cols>
    <col min="1" max="3" width="12.5" style="11" customWidth="1"/>
    <col min="4" max="4" width="9.375" style="11" customWidth="1"/>
    <col min="5" max="13" width="3.125" style="11" customWidth="1"/>
    <col min="14" max="16384" width="8.5" style="11"/>
  </cols>
  <sheetData>
    <row r="1" spans="1:21" ht="18" customHeight="1">
      <c r="A1" s="82">
        <f>申込書!A1</f>
        <v>0</v>
      </c>
      <c r="B1" s="82"/>
      <c r="C1" s="82"/>
      <c r="D1" s="82"/>
      <c r="E1" s="82"/>
      <c r="F1" s="11" t="s">
        <v>140</v>
      </c>
    </row>
    <row r="2" spans="1:21" ht="9" customHeight="1"/>
    <row r="3" spans="1:21" ht="18" customHeight="1">
      <c r="A3" s="22" t="s">
        <v>111</v>
      </c>
      <c r="B3" s="83" t="str">
        <f>申込書!C2</f>
        <v/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21" ht="18" customHeight="1">
      <c r="A4" s="22" t="s">
        <v>112</v>
      </c>
      <c r="B4" s="83" t="str">
        <f>IF(申込書!P1="","",申込書!P1)</f>
        <v/>
      </c>
      <c r="C4" s="83"/>
      <c r="D4" s="84" t="s">
        <v>113</v>
      </c>
      <c r="E4" s="95"/>
      <c r="F4" s="83" t="str">
        <f>申込書!V1</f>
        <v/>
      </c>
      <c r="G4" s="83"/>
      <c r="H4" s="83"/>
      <c r="I4" s="83"/>
      <c r="J4" s="83"/>
      <c r="K4" s="83"/>
      <c r="L4" s="83"/>
      <c r="M4" s="83"/>
    </row>
    <row r="5" spans="1:21" ht="9" customHeight="1"/>
    <row r="6" spans="1:21" ht="18" customHeight="1">
      <c r="A6" s="11" t="s">
        <v>114</v>
      </c>
    </row>
    <row r="7" spans="1:21" ht="18" customHeight="1">
      <c r="A7" s="22" t="s">
        <v>115</v>
      </c>
      <c r="B7" s="88"/>
      <c r="C7" s="88"/>
      <c r="D7" s="83" t="s">
        <v>0</v>
      </c>
      <c r="E7" s="83"/>
      <c r="F7" s="88"/>
      <c r="G7" s="88"/>
      <c r="H7" s="88"/>
      <c r="I7" s="88"/>
      <c r="J7" s="88"/>
      <c r="K7" s="88"/>
      <c r="L7" s="88"/>
      <c r="M7" s="88"/>
    </row>
    <row r="8" spans="1:21" ht="18" customHeight="1">
      <c r="A8" s="22" t="s">
        <v>1</v>
      </c>
      <c r="B8" s="88"/>
      <c r="C8" s="88"/>
      <c r="D8" s="83" t="s">
        <v>116</v>
      </c>
      <c r="E8" s="83"/>
      <c r="F8" s="88"/>
      <c r="G8" s="88"/>
      <c r="H8" s="88"/>
      <c r="I8" s="88"/>
      <c r="J8" s="88"/>
      <c r="K8" s="88"/>
      <c r="L8" s="88"/>
      <c r="M8" s="88"/>
    </row>
    <row r="9" spans="1:21" ht="18" customHeight="1">
      <c r="A9" s="22" t="s">
        <v>117</v>
      </c>
      <c r="B9" s="88"/>
      <c r="C9" s="88"/>
      <c r="D9" s="83" t="s">
        <v>118</v>
      </c>
      <c r="E9" s="83"/>
      <c r="F9" s="88"/>
      <c r="G9" s="88"/>
      <c r="H9" s="88"/>
      <c r="I9" s="88"/>
      <c r="J9" s="88"/>
      <c r="K9" s="88"/>
      <c r="L9" s="88"/>
      <c r="M9" s="88"/>
    </row>
    <row r="10" spans="1:21" ht="9" customHeight="1"/>
    <row r="11" spans="1:21" ht="18" customHeight="1">
      <c r="A11" s="11" t="s">
        <v>119</v>
      </c>
    </row>
    <row r="12" spans="1:21" ht="18" customHeight="1">
      <c r="A12" s="84" t="s">
        <v>120</v>
      </c>
      <c r="B12" s="85"/>
      <c r="C12" s="22" t="s">
        <v>121</v>
      </c>
      <c r="D12" s="86" t="s">
        <v>120</v>
      </c>
      <c r="E12" s="86"/>
      <c r="F12" s="86"/>
      <c r="G12" s="86"/>
      <c r="H12" s="86"/>
      <c r="I12" s="87"/>
      <c r="J12" s="92" t="s">
        <v>121</v>
      </c>
      <c r="K12" s="92"/>
      <c r="L12" s="92"/>
      <c r="M12" s="92"/>
    </row>
    <row r="13" spans="1:21" ht="18" customHeight="1">
      <c r="A13" s="15" t="s">
        <v>11</v>
      </c>
      <c r="B13" s="16">
        <v>100</v>
      </c>
      <c r="C13" s="22">
        <f>COUNTIF(申込書!$BH$8:$BI$48,102)</f>
        <v>0</v>
      </c>
      <c r="D13" s="85" t="s">
        <v>12</v>
      </c>
      <c r="E13" s="85"/>
      <c r="F13" s="85">
        <v>100</v>
      </c>
      <c r="G13" s="85"/>
      <c r="H13" s="85"/>
      <c r="I13" s="85"/>
      <c r="J13" s="83">
        <f>COUNTIF(申込書!$BH$8:$BI$48,202)</f>
        <v>0</v>
      </c>
      <c r="K13" s="83"/>
      <c r="L13" s="83"/>
      <c r="M13" s="83"/>
    </row>
    <row r="14" spans="1:21" ht="18" customHeight="1">
      <c r="A14" s="15" t="s">
        <v>11</v>
      </c>
      <c r="B14" s="16">
        <v>200</v>
      </c>
      <c r="C14" s="22">
        <f>COUNTIF(申込書!$BH$8:$BI$48,103)</f>
        <v>0</v>
      </c>
      <c r="D14" s="85" t="s">
        <v>12</v>
      </c>
      <c r="E14" s="85"/>
      <c r="F14" s="85">
        <v>200</v>
      </c>
      <c r="G14" s="85"/>
      <c r="H14" s="85"/>
      <c r="I14" s="85"/>
      <c r="J14" s="83">
        <f>COUNTIF(申込書!$BH$8:$BI$48,203)</f>
        <v>0</v>
      </c>
      <c r="K14" s="83"/>
      <c r="L14" s="83"/>
      <c r="M14" s="83"/>
      <c r="U14" s="1"/>
    </row>
    <row r="15" spans="1:21" ht="18" customHeight="1">
      <c r="A15" s="15" t="s">
        <v>11</v>
      </c>
      <c r="B15" s="16">
        <v>400</v>
      </c>
      <c r="C15" s="22">
        <f>COUNTIF(申込書!$BH$8:$BI$48,105)</f>
        <v>0</v>
      </c>
      <c r="D15" s="85" t="s">
        <v>12</v>
      </c>
      <c r="E15" s="85"/>
      <c r="F15" s="85">
        <v>400</v>
      </c>
      <c r="G15" s="85"/>
      <c r="H15" s="85"/>
      <c r="I15" s="85"/>
      <c r="J15" s="83">
        <f>COUNTIF(申込書!$BH$8:$BI$48,205)</f>
        <v>0</v>
      </c>
      <c r="K15" s="83"/>
      <c r="L15" s="83"/>
      <c r="M15" s="83"/>
      <c r="U15" s="1"/>
    </row>
    <row r="16" spans="1:21" ht="18" customHeight="1">
      <c r="A16" s="15" t="s">
        <v>11</v>
      </c>
      <c r="B16" s="16">
        <v>800</v>
      </c>
      <c r="C16" s="22">
        <f>COUNTIF(申込書!$BH$8:$BI$48,106)</f>
        <v>0</v>
      </c>
      <c r="D16" s="85" t="s">
        <v>12</v>
      </c>
      <c r="E16" s="85"/>
      <c r="F16" s="85">
        <v>800</v>
      </c>
      <c r="G16" s="85"/>
      <c r="H16" s="85"/>
      <c r="I16" s="85"/>
      <c r="J16" s="83">
        <f>COUNTIF(申込書!$BH$8:$BI$48,206)</f>
        <v>0</v>
      </c>
      <c r="K16" s="83"/>
      <c r="L16" s="83"/>
      <c r="M16" s="83"/>
      <c r="U16" s="1"/>
    </row>
    <row r="17" spans="1:13" ht="18" customHeight="1">
      <c r="A17" s="15" t="s">
        <v>11</v>
      </c>
      <c r="B17" s="16">
        <v>1500</v>
      </c>
      <c r="C17" s="22">
        <f>COUNTIF(申込書!$BH$8:$BI$48,108)</f>
        <v>0</v>
      </c>
      <c r="D17" s="85" t="s">
        <v>12</v>
      </c>
      <c r="E17" s="85"/>
      <c r="F17" s="85">
        <v>3000</v>
      </c>
      <c r="G17" s="85"/>
      <c r="H17" s="85"/>
      <c r="I17" s="85"/>
      <c r="J17" s="83">
        <f>COUNTIF(申込書!$BH$8:$BI$48,210)</f>
        <v>0</v>
      </c>
      <c r="K17" s="83"/>
      <c r="L17" s="83"/>
      <c r="M17" s="83"/>
    </row>
    <row r="18" spans="1:13" ht="18" customHeight="1">
      <c r="A18" s="15" t="s">
        <v>11</v>
      </c>
      <c r="B18" s="16">
        <v>5000</v>
      </c>
      <c r="C18" s="22">
        <f>COUNTIF(申込書!$BH$8:$BI$48,111)</f>
        <v>0</v>
      </c>
      <c r="D18" s="96"/>
      <c r="E18" s="97"/>
      <c r="F18" s="85"/>
      <c r="G18" s="85"/>
      <c r="H18" s="85"/>
      <c r="I18" s="85"/>
      <c r="J18" s="85"/>
      <c r="K18" s="85"/>
      <c r="L18" s="85"/>
      <c r="M18" s="85"/>
    </row>
    <row r="19" spans="1:13" ht="18" customHeight="1">
      <c r="A19" s="15" t="s">
        <v>11</v>
      </c>
      <c r="B19" s="16" t="s">
        <v>122</v>
      </c>
      <c r="C19" s="22">
        <f>COUNTIF(申込書!$BH$8:$BI$48,137)</f>
        <v>0</v>
      </c>
      <c r="D19" s="85" t="s">
        <v>12</v>
      </c>
      <c r="E19" s="85"/>
      <c r="F19" s="85" t="s">
        <v>123</v>
      </c>
      <c r="G19" s="85"/>
      <c r="H19" s="85"/>
      <c r="I19" s="85"/>
      <c r="J19" s="83">
        <f>COUNTIF(申込書!$BH$8:$BI$48,244)</f>
        <v>0</v>
      </c>
      <c r="K19" s="83"/>
      <c r="L19" s="83"/>
      <c r="M19" s="83"/>
    </row>
    <row r="20" spans="1:13" ht="18" customHeight="1">
      <c r="A20" s="15" t="s">
        <v>11</v>
      </c>
      <c r="B20" s="16" t="s">
        <v>124</v>
      </c>
      <c r="C20" s="22">
        <f>COUNTIF(申込書!$BH$8:$BI$48,153)</f>
        <v>0</v>
      </c>
      <c r="D20" s="84"/>
      <c r="E20" s="85"/>
      <c r="F20" s="85"/>
      <c r="G20" s="85"/>
      <c r="H20" s="85"/>
      <c r="I20" s="85"/>
      <c r="J20" s="85"/>
      <c r="K20" s="85"/>
      <c r="L20" s="85"/>
      <c r="M20" s="85"/>
    </row>
    <row r="21" spans="1:13" ht="18" customHeight="1">
      <c r="A21" s="15" t="s">
        <v>11</v>
      </c>
      <c r="B21" s="16" t="s">
        <v>125</v>
      </c>
      <c r="C21" s="22">
        <f>IF(申込書!BK6&gt;3,1,0)</f>
        <v>0</v>
      </c>
      <c r="D21" s="86" t="s">
        <v>12</v>
      </c>
      <c r="E21" s="86"/>
      <c r="F21" s="86" t="s">
        <v>125</v>
      </c>
      <c r="G21" s="86"/>
      <c r="H21" s="86"/>
      <c r="I21" s="86"/>
      <c r="J21" s="92">
        <f>IF(申込書!BM6&gt;3,1,0)</f>
        <v>0</v>
      </c>
      <c r="K21" s="92"/>
      <c r="L21" s="92"/>
      <c r="M21" s="92"/>
    </row>
    <row r="22" spans="1:13" ht="18" customHeight="1">
      <c r="A22" s="15" t="s">
        <v>11</v>
      </c>
      <c r="B22" s="16" t="s">
        <v>126</v>
      </c>
      <c r="C22" s="22">
        <f>IF(申込書!BL6&gt;3,1,0)</f>
        <v>0</v>
      </c>
      <c r="D22" s="84"/>
      <c r="E22" s="85"/>
      <c r="F22" s="85"/>
      <c r="G22" s="85"/>
      <c r="H22" s="85"/>
      <c r="I22" s="85"/>
      <c r="J22" s="85"/>
      <c r="K22" s="85"/>
      <c r="L22" s="85"/>
      <c r="M22" s="85"/>
    </row>
    <row r="23" spans="1:13" ht="18" customHeight="1">
      <c r="A23" s="15" t="s">
        <v>11</v>
      </c>
      <c r="B23" s="16" t="s">
        <v>128</v>
      </c>
      <c r="C23" s="22">
        <f>COUNTIF(申込書!$BH$8:$BI$48,171)</f>
        <v>0</v>
      </c>
      <c r="D23" s="93" t="s">
        <v>12</v>
      </c>
      <c r="E23" s="93"/>
      <c r="F23" s="93" t="s">
        <v>128</v>
      </c>
      <c r="G23" s="93"/>
      <c r="H23" s="93"/>
      <c r="I23" s="93"/>
      <c r="J23" s="94">
        <f>COUNTIF(申込書!$BH$8:$BI$48,271)</f>
        <v>0</v>
      </c>
      <c r="K23" s="94"/>
      <c r="L23" s="94"/>
      <c r="M23" s="94"/>
    </row>
    <row r="24" spans="1:13" ht="18" customHeight="1">
      <c r="A24" s="15" t="s">
        <v>11</v>
      </c>
      <c r="B24" s="16" t="s">
        <v>127</v>
      </c>
      <c r="C24" s="22">
        <f>COUNTIF(申込書!$BH$8:$BI$48,173)</f>
        <v>0</v>
      </c>
      <c r="D24" s="85" t="s">
        <v>12</v>
      </c>
      <c r="E24" s="85"/>
      <c r="F24" s="85" t="s">
        <v>127</v>
      </c>
      <c r="G24" s="85"/>
      <c r="H24" s="85"/>
      <c r="I24" s="85"/>
      <c r="J24" s="83">
        <f>COUNTIF(申込書!$BH$8:$BI$48,273)</f>
        <v>0</v>
      </c>
      <c r="K24" s="83"/>
      <c r="L24" s="83"/>
      <c r="M24" s="83"/>
    </row>
    <row r="25" spans="1:13" ht="18" customHeight="1">
      <c r="A25" s="15" t="s">
        <v>11</v>
      </c>
      <c r="B25" s="16" t="s">
        <v>129</v>
      </c>
      <c r="C25" s="22">
        <f>COUNTIF(申込書!$BH$8:$BI$48,174)</f>
        <v>0</v>
      </c>
      <c r="D25" s="84"/>
      <c r="E25" s="85"/>
      <c r="F25" s="85"/>
      <c r="G25" s="85"/>
      <c r="H25" s="85"/>
      <c r="I25" s="85"/>
      <c r="J25" s="85"/>
      <c r="K25" s="85"/>
      <c r="L25" s="85"/>
      <c r="M25" s="85"/>
    </row>
    <row r="26" spans="1:13" ht="18" customHeight="1">
      <c r="A26" s="15" t="s">
        <v>11</v>
      </c>
      <c r="B26" s="16" t="s">
        <v>130</v>
      </c>
      <c r="C26" s="22">
        <f>COUNTIF(申込書!$BH$8:$BI$48,182)</f>
        <v>0</v>
      </c>
      <c r="D26" s="85" t="s">
        <v>12</v>
      </c>
      <c r="E26" s="85"/>
      <c r="F26" s="85" t="s">
        <v>130</v>
      </c>
      <c r="G26" s="85"/>
      <c r="H26" s="85"/>
      <c r="I26" s="85"/>
      <c r="J26" s="83">
        <f>COUNTIF(申込書!$BH$8:$BI$48,282)</f>
        <v>0</v>
      </c>
      <c r="K26" s="83"/>
      <c r="L26" s="83"/>
      <c r="M26" s="83"/>
    </row>
    <row r="27" spans="1:13" ht="18" customHeight="1">
      <c r="A27" s="15" t="s">
        <v>11</v>
      </c>
      <c r="B27" s="16" t="s">
        <v>131</v>
      </c>
      <c r="C27" s="22">
        <f>COUNTIF(申込書!$BH$8:$BI$48,188)</f>
        <v>0</v>
      </c>
      <c r="D27" s="85" t="s">
        <v>12</v>
      </c>
      <c r="E27" s="85"/>
      <c r="F27" s="85" t="s">
        <v>131</v>
      </c>
      <c r="G27" s="85"/>
      <c r="H27" s="85"/>
      <c r="I27" s="85"/>
      <c r="J27" s="83">
        <f>COUNTIF(申込書!$BH$8:$BI$48,288)</f>
        <v>0</v>
      </c>
      <c r="K27" s="83"/>
      <c r="L27" s="83"/>
      <c r="M27" s="83"/>
    </row>
    <row r="28" spans="1:13" ht="18" customHeight="1">
      <c r="A28" s="15" t="s">
        <v>11</v>
      </c>
      <c r="B28" s="17" t="s">
        <v>132</v>
      </c>
      <c r="C28" s="24">
        <f>SUM(C13:C27)</f>
        <v>0</v>
      </c>
      <c r="D28" s="84" t="s">
        <v>12</v>
      </c>
      <c r="E28" s="85"/>
      <c r="F28" s="85" t="s">
        <v>132</v>
      </c>
      <c r="G28" s="85"/>
      <c r="H28" s="85"/>
      <c r="I28" s="95"/>
      <c r="J28" s="94">
        <f>SUM(J13:J27)</f>
        <v>0</v>
      </c>
      <c r="K28" s="94"/>
      <c r="L28" s="94"/>
      <c r="M28" s="94"/>
    </row>
    <row r="29" spans="1:13" ht="9" customHeight="1">
      <c r="C29" s="14"/>
    </row>
    <row r="30" spans="1:13" ht="18" customHeight="1">
      <c r="A30" s="84" t="s">
        <v>133</v>
      </c>
      <c r="B30" s="95"/>
      <c r="C30" s="22">
        <f>+C28+J28</f>
        <v>0</v>
      </c>
      <c r="D30" s="84" t="s">
        <v>134</v>
      </c>
      <c r="E30" s="85"/>
      <c r="F30" s="85"/>
      <c r="G30" s="85"/>
      <c r="H30" s="85"/>
      <c r="I30" s="85"/>
      <c r="J30" s="83">
        <f>COUNTIF(申込書!BJ8:BJ48,"○")</f>
        <v>0</v>
      </c>
      <c r="K30" s="83"/>
      <c r="L30" s="83"/>
      <c r="M30" s="83"/>
    </row>
    <row r="31" spans="1:13" ht="9" customHeight="1">
      <c r="C31" s="14"/>
    </row>
    <row r="32" spans="1:13" ht="18" customHeight="1">
      <c r="A32" s="84" t="s">
        <v>135</v>
      </c>
      <c r="B32" s="95"/>
      <c r="C32" s="22">
        <f>(+C30+J30)*400</f>
        <v>0</v>
      </c>
    </row>
    <row r="33" spans="1:13" ht="18" customHeight="1"/>
    <row r="34" spans="1:13" ht="18" customHeight="1"/>
    <row r="35" spans="1:13" ht="18" customHeight="1" thickBot="1"/>
    <row r="36" spans="1:13" ht="18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ht="18" customHeight="1">
      <c r="A37" s="90" t="s">
        <v>136</v>
      </c>
      <c r="B37" s="90"/>
    </row>
    <row r="38" spans="1:13" ht="18" customHeight="1">
      <c r="A38" s="90"/>
      <c r="B38" s="90"/>
      <c r="D38" s="23" t="s">
        <v>250</v>
      </c>
      <c r="E38" s="89"/>
      <c r="F38" s="89"/>
      <c r="G38" s="14" t="s">
        <v>147</v>
      </c>
      <c r="H38" s="89"/>
      <c r="I38" s="89"/>
      <c r="J38" s="14" t="s">
        <v>146</v>
      </c>
      <c r="K38" s="89"/>
      <c r="L38" s="89"/>
      <c r="M38" s="14" t="s">
        <v>145</v>
      </c>
    </row>
    <row r="39" spans="1:13" ht="18" customHeight="1"/>
    <row r="40" spans="1:13" ht="14.25" customHeight="1">
      <c r="B40" s="82" t="str">
        <f>B3</f>
        <v/>
      </c>
      <c r="C40" s="82"/>
      <c r="D40" s="82"/>
      <c r="E40" s="82"/>
      <c r="F40" s="82"/>
      <c r="G40" s="82"/>
      <c r="H40" s="82"/>
      <c r="I40" s="14"/>
      <c r="J40" s="40" t="s">
        <v>137</v>
      </c>
    </row>
    <row r="41" spans="1:13" ht="9" customHeight="1"/>
    <row r="42" spans="1:13" ht="9" customHeight="1"/>
    <row r="43" spans="1:13" ht="24">
      <c r="B43" s="18" t="s">
        <v>138</v>
      </c>
      <c r="C43" s="91">
        <f>C32</f>
        <v>0</v>
      </c>
      <c r="D43" s="91"/>
      <c r="E43" s="13"/>
      <c r="F43" s="19" t="s">
        <v>139</v>
      </c>
      <c r="G43" s="19"/>
      <c r="H43" s="19"/>
      <c r="I43" s="19"/>
    </row>
    <row r="44" spans="1:13" ht="9" customHeight="1"/>
    <row r="45" spans="1:13" ht="9" customHeight="1">
      <c r="A45" s="14"/>
      <c r="B45" s="14"/>
      <c r="C45" s="14"/>
    </row>
    <row r="46" spans="1:13" ht="18" customHeight="1">
      <c r="A46" s="82" t="str">
        <f>CONCATENATE(A1,"　　大会参加費として")</f>
        <v>0　　大会参加費として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</row>
    <row r="47" spans="1:13" ht="9" customHeight="1"/>
    <row r="48" spans="1:13" ht="9" customHeight="1"/>
    <row r="49" spans="2:13" ht="18" customHeight="1">
      <c r="B49" s="11" t="s">
        <v>412</v>
      </c>
    </row>
    <row r="50" spans="2:13" ht="18" customHeight="1">
      <c r="B50" s="81" t="s">
        <v>413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</sheetData>
  <sheetProtection algorithmName="SHA-512" hashValue="ZoB+u+PLpL9deJdPL7DzeNAFlJBVuW2Xt4DqpNCca5Twg21H4sqjq9rvDMtAUNvVUHRbD388g9AlI60nK81lnA==" saltValue="CXBr9CVpF2Mib4hJsTxv7Q==" spinCount="100000" sheet="1"/>
  <protectedRanges>
    <protectedRange sqref="F4:M4" name="範囲11"/>
    <protectedRange sqref="B4:C4" name="範囲10"/>
    <protectedRange sqref="B3:M3" name="範囲9"/>
    <protectedRange sqref="K38:L38" name="範囲8"/>
    <protectedRange sqref="E38:F38" name="範囲7"/>
    <protectedRange sqref="H38:I38" name="範囲6"/>
    <protectedRange sqref="F7:M9" name="範囲5"/>
    <protectedRange sqref="B7:C9" name="範囲4"/>
  </protectedRanges>
  <mergeCells count="77">
    <mergeCell ref="B9:C9"/>
    <mergeCell ref="D25:E25"/>
    <mergeCell ref="D26:E26"/>
    <mergeCell ref="D27:E27"/>
    <mergeCell ref="D28:E28"/>
    <mergeCell ref="A32:B32"/>
    <mergeCell ref="D30:I30"/>
    <mergeCell ref="F28:I28"/>
    <mergeCell ref="A30:B30"/>
    <mergeCell ref="F27:I27"/>
    <mergeCell ref="F4:M4"/>
    <mergeCell ref="F7:M7"/>
    <mergeCell ref="F8:M8"/>
    <mergeCell ref="F9:M9"/>
    <mergeCell ref="J12:M12"/>
    <mergeCell ref="D4:E4"/>
    <mergeCell ref="A1:E1"/>
    <mergeCell ref="D18:E18"/>
    <mergeCell ref="D19:E19"/>
    <mergeCell ref="J13:M13"/>
    <mergeCell ref="J14:M14"/>
    <mergeCell ref="J15:M15"/>
    <mergeCell ref="D7:E7"/>
    <mergeCell ref="F17:I17"/>
    <mergeCell ref="F18:I18"/>
    <mergeCell ref="B3:M3"/>
    <mergeCell ref="F16:I16"/>
    <mergeCell ref="F19:I19"/>
    <mergeCell ref="J18:M18"/>
    <mergeCell ref="J19:M19"/>
    <mergeCell ref="J16:M16"/>
    <mergeCell ref="J23:M23"/>
    <mergeCell ref="F24:I24"/>
    <mergeCell ref="D22:E22"/>
    <mergeCell ref="J30:M30"/>
    <mergeCell ref="J26:M26"/>
    <mergeCell ref="J27:M27"/>
    <mergeCell ref="J24:M24"/>
    <mergeCell ref="J25:M25"/>
    <mergeCell ref="J28:M28"/>
    <mergeCell ref="F22:I22"/>
    <mergeCell ref="B7:C7"/>
    <mergeCell ref="F15:I15"/>
    <mergeCell ref="A46:M46"/>
    <mergeCell ref="E38:F38"/>
    <mergeCell ref="H38:I38"/>
    <mergeCell ref="K38:L38"/>
    <mergeCell ref="A37:B38"/>
    <mergeCell ref="C43:D43"/>
    <mergeCell ref="J20:M20"/>
    <mergeCell ref="J21:M21"/>
    <mergeCell ref="D23:E23"/>
    <mergeCell ref="D24:E24"/>
    <mergeCell ref="D20:E20"/>
    <mergeCell ref="F23:I23"/>
    <mergeCell ref="J22:M22"/>
    <mergeCell ref="D17:E17"/>
    <mergeCell ref="D21:E21"/>
    <mergeCell ref="J17:M17"/>
    <mergeCell ref="F20:I20"/>
    <mergeCell ref="F21:I21"/>
    <mergeCell ref="B50:M50"/>
    <mergeCell ref="B40:H40"/>
    <mergeCell ref="B4:C4"/>
    <mergeCell ref="A12:B12"/>
    <mergeCell ref="D9:E9"/>
    <mergeCell ref="D12:I12"/>
    <mergeCell ref="F13:I13"/>
    <mergeCell ref="F14:I14"/>
    <mergeCell ref="D8:E8"/>
    <mergeCell ref="B8:C8"/>
    <mergeCell ref="F25:I25"/>
    <mergeCell ref="F26:I26"/>
    <mergeCell ref="D16:E16"/>
    <mergeCell ref="D13:E13"/>
    <mergeCell ref="D14:E14"/>
    <mergeCell ref="D15:E15"/>
  </mergeCells>
  <phoneticPr fontId="1"/>
  <conditionalFormatting sqref="J13:M17 C13:C27 J19:M19 J21:M21 J23:M24 J26:M27">
    <cfRule type="cellIs" dxfId="0" priority="1" stopIfTrue="1" operator="greaterThan">
      <formula>3</formula>
    </cfRule>
  </conditionalFormatting>
  <printOptions horizontalCentered="1" verticalCentered="1"/>
  <pageMargins left="0.78740157480314965" right="0.78740157480314965" top="0.78740157480314965" bottom="0.78740157480314965" header="0.31496062992125984" footer="0.51181102362204722"/>
  <pageSetup paperSize="9" scale="95" orientation="portrait" blackAndWhite="1" horizontalDpi="300" verticalDpi="300" r:id="rId1"/>
  <headerFooter alignWithMargins="0">
    <oddHeader>&amp;R&amp;9&amp;F/&amp;A &amp;D/&amp;T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調査票</vt:lpstr>
      <vt:lpstr>申込書!Print_Area</vt:lpstr>
      <vt:lpstr>申込書!Print_Titles</vt:lpstr>
    </vt:vector>
  </TitlesOfParts>
  <Company>OFFICE 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HIO</dc:creator>
  <cp:lastModifiedBy>ghibli@nifty.com</cp:lastModifiedBy>
  <cp:lastPrinted>2022-05-03T03:28:51Z</cp:lastPrinted>
  <dcterms:created xsi:type="dcterms:W3CDTF">2000-05-07T06:03:52Z</dcterms:created>
  <dcterms:modified xsi:type="dcterms:W3CDTF">2025-08-21T19:47:31Z</dcterms:modified>
</cp:coreProperties>
</file>